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uman Resources\Fire and Rescue Service - HR\Policies\2. Policies Under Review\Annual Leave\"/>
    </mc:Choice>
  </mc:AlternateContent>
  <xr:revisionPtr revIDLastSave="0" documentId="8_{C17AD6DE-82BC-418E-820C-D9F1A09DE5D6}" xr6:coauthVersionLast="47" xr6:coauthVersionMax="47" xr10:uidLastSave="{00000000-0000-0000-0000-000000000000}"/>
  <bookViews>
    <workbookView xWindow="28680" yWindow="-120" windowWidth="29040" windowHeight="15720" tabRatio="726" xr2:uid="{00000000-000D-0000-FFFF-FFFF00000000}"/>
  </bookViews>
  <sheets>
    <sheet name="Calculator" sheetId="12" r:id="rId1"/>
    <sheet name="Entitlement Table" sheetId="18" state="hidden" r:id="rId2"/>
    <sheet name="Leave Years" sheetId="17" state="hidden" r:id="rId3"/>
    <sheet name="Public Holidays" sheetId="19" state="hidden" r:id="rId4"/>
  </sheets>
  <definedNames>
    <definedName name="_xlnm._FilterDatabase" localSheetId="0" hidden="1">#REF!</definedName>
    <definedName name="Birthday_1">'Leave Years'!$A$2</definedName>
    <definedName name="Birthday_2">'Leave Years'!$A$3</definedName>
    <definedName name="Birthday_3">'Leave Years'!$A$4</definedName>
    <definedName name="Birthday_4">'Leave Years'!$A$5</definedName>
    <definedName name="Birthday_5">'Leave Years'!$A$6</definedName>
    <definedName name="Contractual_Hours">Calculator!$C$5</definedName>
    <definedName name="Date_of_Birth">Calculator!$C$6</definedName>
    <definedName name="Leave_Year_End_1">'Leave Years'!$C$2</definedName>
    <definedName name="Leave_Year_End_2">'Leave Years'!$C$3</definedName>
    <definedName name="Leave_Year_End_3">'Leave Years'!$C$4</definedName>
    <definedName name="Leave_Year_End_4">'Leave Years'!$C$5</definedName>
    <definedName name="Leave_Year_End_5">'Leave Years'!$C$6</definedName>
    <definedName name="Leave_Year_Selection">'Leave Years'!$D$2:$D$6</definedName>
    <definedName name="Leave_Year_Start_1">'Leave Years'!$B$2</definedName>
    <definedName name="Leave_Year_Start_2">'Leave Years'!$B$3</definedName>
    <definedName name="Leave_Year_Start_3">'Leave Years'!$B$4</definedName>
    <definedName name="Leave_Year_Start_4">'Leave Years'!$B$5</definedName>
    <definedName name="Leave_Year_Start_5">'Leave Years'!$B$6</definedName>
    <definedName name="Leaving_Date">Calculator!$C$9</definedName>
    <definedName name="Mandatory_Data">Calculator!$C$5:$C$7</definedName>
    <definedName name="Reckonable_Service_Date">Calculator!$C$8</definedName>
    <definedName name="Start_Date">Calculator!$C$7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7" l="1"/>
  <c r="K22" i="17"/>
  <c r="K21" i="17"/>
  <c r="K23" i="17" s="1"/>
  <c r="H19" i="17"/>
  <c r="K18" i="17"/>
  <c r="K17" i="17"/>
  <c r="J6" i="17"/>
  <c r="J5" i="17"/>
  <c r="J4" i="17"/>
  <c r="J3" i="17"/>
  <c r="J2" i="17"/>
  <c r="B12" i="12"/>
  <c r="A6" i="17"/>
  <c r="A5" i="17"/>
  <c r="A4" i="17"/>
  <c r="A3" i="17"/>
  <c r="A2" i="17"/>
  <c r="K19" i="17" l="1"/>
  <c r="C2" i="17"/>
  <c r="I2" i="17" s="1"/>
  <c r="T2" i="17" l="1"/>
  <c r="F2" i="17"/>
  <c r="E2" i="17" s="1"/>
  <c r="B2" i="17"/>
  <c r="H2" i="17" s="1"/>
  <c r="P2" i="17" l="1"/>
  <c r="K2" i="17"/>
  <c r="G2" i="17"/>
  <c r="Y2" i="17" s="1"/>
  <c r="F3" i="17"/>
  <c r="E3" i="17" s="1"/>
  <c r="D2" i="17"/>
  <c r="B3" i="17"/>
  <c r="H3" i="17" s="1"/>
  <c r="C3" i="17"/>
  <c r="T3" i="17" s="1"/>
  <c r="P3" i="17" l="1"/>
  <c r="Q2" i="17"/>
  <c r="L2" i="17"/>
  <c r="M2" i="17"/>
  <c r="I3" i="17"/>
  <c r="G3" i="17"/>
  <c r="Y3" i="17" s="1"/>
  <c r="F4" i="17"/>
  <c r="E4" i="17" s="1"/>
  <c r="D3" i="17"/>
  <c r="B4" i="17"/>
  <c r="H4" i="17" s="1"/>
  <c r="C4" i="17"/>
  <c r="T4" i="17" s="1"/>
  <c r="P4" i="17" l="1"/>
  <c r="N2" i="17"/>
  <c r="Q3" i="17"/>
  <c r="K3" i="17"/>
  <c r="L3" i="17" s="1"/>
  <c r="I4" i="17"/>
  <c r="G4" i="17"/>
  <c r="Y4" i="17" s="1"/>
  <c r="F5" i="17"/>
  <c r="E5" i="17" s="1"/>
  <c r="D4" i="17"/>
  <c r="B5" i="17"/>
  <c r="H5" i="17" s="1"/>
  <c r="C5" i="17"/>
  <c r="T5" i="17" s="1"/>
  <c r="R2" i="17" l="1"/>
  <c r="W2" i="17" s="1"/>
  <c r="U2" i="17"/>
  <c r="S2" i="17" s="1"/>
  <c r="I5" i="17"/>
  <c r="K5" i="17" s="1"/>
  <c r="P5" i="17"/>
  <c r="O2" i="17"/>
  <c r="Q4" i="17"/>
  <c r="M3" i="17"/>
  <c r="N3" i="17" s="1"/>
  <c r="K4" i="17"/>
  <c r="M4" i="17" s="1"/>
  <c r="G5" i="17"/>
  <c r="F6" i="17"/>
  <c r="E6" i="17" s="1"/>
  <c r="D5" i="17"/>
  <c r="B6" i="17"/>
  <c r="C6" i="17"/>
  <c r="T6" i="17" s="1"/>
  <c r="Y5" i="17" l="1"/>
  <c r="V2" i="17"/>
  <c r="X2" i="17" s="1"/>
  <c r="AB2" i="17" s="1"/>
  <c r="U3" i="17"/>
  <c r="S3" i="17" s="1"/>
  <c r="R3" i="17"/>
  <c r="P6" i="17"/>
  <c r="O3" i="17"/>
  <c r="Q5" i="17"/>
  <c r="L4" i="17"/>
  <c r="N4" i="17" s="1"/>
  <c r="I6" i="17"/>
  <c r="H6" i="17"/>
  <c r="L5" i="17"/>
  <c r="M5" i="17"/>
  <c r="G6" i="17"/>
  <c r="D6" i="17"/>
  <c r="Y6" i="17" l="1"/>
  <c r="Z2" i="17"/>
  <c r="AA2" i="17" s="1"/>
  <c r="R4" i="17"/>
  <c r="W4" i="17" s="1"/>
  <c r="O4" i="17"/>
  <c r="V3" i="17"/>
  <c r="W3" i="17"/>
  <c r="U4" i="17"/>
  <c r="S4" i="17" s="1"/>
  <c r="Q6" i="17"/>
  <c r="N5" i="17"/>
  <c r="O5" i="17" s="1"/>
  <c r="D14" i="12"/>
  <c r="K6" i="17"/>
  <c r="X3" i="17" l="1"/>
  <c r="AB3" i="17" s="1"/>
  <c r="R5" i="17"/>
  <c r="W5" i="17" s="1"/>
  <c r="V4" i="17"/>
  <c r="X4" i="17" s="1"/>
  <c r="AB4" i="17" s="1"/>
  <c r="U5" i="17"/>
  <c r="S5" i="17" s="1"/>
  <c r="L6" i="17"/>
  <c r="M6" i="17"/>
  <c r="Z4" i="17" l="1"/>
  <c r="AA4" i="17" s="1"/>
  <c r="Z3" i="17"/>
  <c r="AA3" i="17" s="1"/>
  <c r="V5" i="17"/>
  <c r="N6" i="17"/>
  <c r="O6" i="17" s="1"/>
  <c r="X5" i="17" l="1"/>
  <c r="R6" i="17"/>
  <c r="W6" i="17" s="1"/>
  <c r="U6" i="17"/>
  <c r="S6" i="17" s="1"/>
  <c r="Z5" i="17" l="1"/>
  <c r="AA5" i="17" s="1"/>
  <c r="AB5" i="17"/>
  <c r="V6" i="17"/>
  <c r="X6" i="17" l="1"/>
  <c r="AB6" i="17" s="1"/>
  <c r="F15" i="12" l="1"/>
  <c r="Z6" i="17"/>
  <c r="AA6" i="17" s="1"/>
  <c r="C16" i="12" l="1"/>
  <c r="C15" i="12"/>
  <c r="B15" i="12"/>
  <c r="B1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walkerm</author>
  </authors>
  <commentList>
    <comment ref="C3" authorId="0" shapeId="0" xr:uid="{00000000-0006-0000-0000-000001000000}">
      <text>
        <r>
          <rPr>
            <b/>
            <sz val="9"/>
            <color indexed="81"/>
            <rFont val="Arial"/>
            <family val="2"/>
          </rPr>
          <t>If an employee has more than one position a separate calculation needs to be done, and a separate leave record kept for each position they hold.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Enter the number of contracted weekly hours. 
Part-time employees should enter part hours in decimal hours, e.g. enter 18.50 hours for 18 hours 30 minutes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<sst xmlns="http://schemas.openxmlformats.org/spreadsheetml/2006/main" count="85" uniqueCount="85">
  <si>
    <t>Leaving date (if applicable)</t>
  </si>
  <si>
    <t>Mandatory cells</t>
  </si>
  <si>
    <t>Optional cells</t>
  </si>
  <si>
    <t>ANNUAL LEAVE CALCULATOR</t>
  </si>
  <si>
    <t>Name</t>
  </si>
  <si>
    <t>Position title</t>
  </si>
  <si>
    <t xml:space="preserve"> </t>
  </si>
  <si>
    <t>If you have not used this calculator before please read the guidance notes in the cell comments boxes.</t>
  </si>
  <si>
    <t>for leave year calculations</t>
  </si>
  <si>
    <t>for leavers calculations</t>
  </si>
  <si>
    <t>for new starters calculations</t>
  </si>
  <si>
    <r>
      <rPr>
        <sz val="10"/>
        <color indexed="9"/>
        <rFont val="Arial"/>
        <family val="2"/>
      </rPr>
      <t>Use this calculator for anyone without access to MyHR:</t>
    </r>
    <r>
      <rPr>
        <b/>
        <sz val="10"/>
        <color indexed="9"/>
        <rFont val="Arial"/>
        <family val="2"/>
      </rPr>
      <t xml:space="preserve"> </t>
    </r>
  </si>
  <si>
    <t>Annual leave and absence should be requested, recorded and authorised using MyHR.</t>
  </si>
  <si>
    <t>Date of Birth</t>
  </si>
  <si>
    <t>Leave Year Start</t>
  </si>
  <si>
    <t>Leave Year End</t>
  </si>
  <si>
    <t>Weekly Contractual Hours</t>
  </si>
  <si>
    <t>Service At Year Start</t>
  </si>
  <si>
    <t>Service At Year End</t>
  </si>
  <si>
    <t>Years Service</t>
  </si>
  <si>
    <t>Days Entitlement</t>
  </si>
  <si>
    <t>Change Date</t>
  </si>
  <si>
    <t>Date</t>
  </si>
  <si>
    <t>Lower Rate  Entitlement Days</t>
  </si>
  <si>
    <t>Higher Rate Entitlement Days</t>
  </si>
  <si>
    <t>Calendar Days In Actual Leave Year</t>
  </si>
  <si>
    <t>Calendar Days In Full Leave Year</t>
  </si>
  <si>
    <t>Public Holidays Days</t>
  </si>
  <si>
    <t>Public Holidays Hours</t>
  </si>
  <si>
    <t>Birthday</t>
  </si>
  <si>
    <t>Start Date</t>
  </si>
  <si>
    <t>Leave Year (select from drop-down)</t>
  </si>
  <si>
    <t>Reckonable Service Date (if earlier than Start Date)</t>
  </si>
  <si>
    <t>Total FTE Entitlement Days</t>
  </si>
  <si>
    <t>Leave Year (part year if applicable)</t>
  </si>
  <si>
    <t>Expected leave year end for bank holiday calculation (full dates)</t>
  </si>
  <si>
    <t>`</t>
  </si>
  <si>
    <t>Please do not save this calculator into your personal folders or amend any of the formulas as the results may not be accurate.</t>
  </si>
  <si>
    <t>Term Time only weeks</t>
  </si>
  <si>
    <t xml:space="preserve">Number of Years </t>
  </si>
  <si>
    <t>Full Year Annual leave and Bank holiday Entitlement in days</t>
  </si>
  <si>
    <t>Full Year Hols in weeks</t>
  </si>
  <si>
    <t>Full Year working weeks - 52.143 - annual leave</t>
  </si>
  <si>
    <r>
      <t xml:space="preserve">Number of </t>
    </r>
    <r>
      <rPr>
        <b/>
        <sz val="9"/>
        <color rgb="FF000000"/>
        <rFont val="Arial"/>
        <family val="2"/>
      </rPr>
      <t>days</t>
    </r>
    <r>
      <rPr>
        <sz val="9"/>
        <color rgb="FF000000"/>
        <rFont val="Arial"/>
        <family val="2"/>
      </rPr>
      <t xml:space="preserve"> hols based on 38 weeks per year</t>
    </r>
  </si>
  <si>
    <r>
      <t xml:space="preserve">Number of </t>
    </r>
    <r>
      <rPr>
        <b/>
        <sz val="9"/>
        <color rgb="FF000000"/>
        <rFont val="Arial"/>
        <family val="2"/>
      </rPr>
      <t>weeks</t>
    </r>
    <r>
      <rPr>
        <sz val="9"/>
        <color rgb="FF000000"/>
        <rFont val="Arial"/>
        <family val="2"/>
      </rPr>
      <t xml:space="preserve"> holiday based on 38 working weeks per year</t>
    </r>
  </si>
  <si>
    <t>Paid weeks (38) plus leave</t>
  </si>
  <si>
    <r>
      <t xml:space="preserve">Number of </t>
    </r>
    <r>
      <rPr>
        <b/>
        <sz val="9"/>
        <color rgb="FF000000"/>
        <rFont val="Arial"/>
        <family val="2"/>
      </rPr>
      <t>days</t>
    </r>
    <r>
      <rPr>
        <sz val="9"/>
        <color rgb="FF000000"/>
        <rFont val="Arial"/>
        <family val="2"/>
      </rPr>
      <t xml:space="preserve"> hols based on 39 weeks per year</t>
    </r>
  </si>
  <si>
    <r>
      <t xml:space="preserve">Number of </t>
    </r>
    <r>
      <rPr>
        <b/>
        <sz val="9"/>
        <color rgb="FF000000"/>
        <rFont val="Arial"/>
        <family val="2"/>
      </rPr>
      <t>weeks</t>
    </r>
    <r>
      <rPr>
        <sz val="9"/>
        <color rgb="FF000000"/>
        <rFont val="Arial"/>
        <family val="2"/>
      </rPr>
      <t xml:space="preserve"> holiday based on 39 working weeks per year</t>
    </r>
  </si>
  <si>
    <t>Paid weeks (39) plus leave</t>
  </si>
  <si>
    <t>Number of days hols based on 40 weeks per year</t>
  </si>
  <si>
    <r>
      <t xml:space="preserve">Number of </t>
    </r>
    <r>
      <rPr>
        <b/>
        <sz val="9"/>
        <color rgb="FF000000"/>
        <rFont val="Arial"/>
        <family val="2"/>
      </rPr>
      <t>weeks</t>
    </r>
    <r>
      <rPr>
        <sz val="9"/>
        <color rgb="FF000000"/>
        <rFont val="Arial"/>
        <family val="2"/>
      </rPr>
      <t xml:space="preserve"> holiday based on 40 working weeks per year</t>
    </r>
  </si>
  <si>
    <t>Paid weeks (40) plus leave</t>
  </si>
  <si>
    <t>Number of days hols based on 41 weeks per year</t>
  </si>
  <si>
    <r>
      <t xml:space="preserve">Number of </t>
    </r>
    <r>
      <rPr>
        <b/>
        <sz val="9"/>
        <color rgb="FF000000"/>
        <rFont val="Arial"/>
        <family val="2"/>
      </rPr>
      <t>weeks</t>
    </r>
    <r>
      <rPr>
        <sz val="9"/>
        <color rgb="FF000000"/>
        <rFont val="Arial"/>
        <family val="2"/>
      </rPr>
      <t xml:space="preserve"> holiday based on 41 working weeks per year</t>
    </r>
  </si>
  <si>
    <t>Paid weeks (41) plus leave</t>
  </si>
  <si>
    <t>How to calculate</t>
  </si>
  <si>
    <t>Annual leave</t>
  </si>
  <si>
    <t>38 weeks working nd 30 days leave</t>
  </si>
  <si>
    <t>Bank hols:</t>
  </si>
  <si>
    <t>Bank hols may change - We've popped 8 here</t>
  </si>
  <si>
    <t>TOTAL</t>
  </si>
  <si>
    <t>min leave</t>
  </si>
  <si>
    <t>Min B/h</t>
  </si>
  <si>
    <t>If the total of leave and B/h is less than 5.6 then the annual leave is 4 weeks and bank hols is 1.6 weeks</t>
  </si>
  <si>
    <t>contracted hours x weeks entitlement as calculated above (ie. not to be pro-rata down again if part time)</t>
  </si>
  <si>
    <t>TTO Bank holiday entitelment in Period</t>
  </si>
  <si>
    <t>TTO -Full Year Entitlement</t>
  </si>
  <si>
    <t>Full Year Entitlement (in period)</t>
  </si>
  <si>
    <t>Full Year Annual leave in period</t>
  </si>
  <si>
    <t>Full Year Bank Holidays in period</t>
  </si>
  <si>
    <t>TTO Annual leave weeks entitement in Period</t>
  </si>
  <si>
    <t>AL Entitlement Hours</t>
  </si>
  <si>
    <t>queen</t>
  </si>
  <si>
    <t>king</t>
  </si>
  <si>
    <t>HARPUR BRAZEL:weeks of both AL and BH in period</t>
  </si>
  <si>
    <t>HARPUR BRAZEL.the minimum entitlemtn for period</t>
  </si>
  <si>
    <t>HARPUR BRAZEL: entitlement of bank hols and A/L (weeks)</t>
  </si>
  <si>
    <t>HARPUR BRAZEL: entitlement of bank hols and A/L (hours)</t>
  </si>
  <si>
    <t>DOES HARPUR  BRAZEL Apply?</t>
  </si>
  <si>
    <t>Do you work Term Time only or part year? (please select)</t>
  </si>
  <si>
    <t>ONLY FOR REFERENCE</t>
  </si>
  <si>
    <t>NEED TO PUT MORE BANK HOLIDAY</t>
  </si>
  <si>
    <t>If you have difficulty using this calculator for a particular leave scenario contact Human Resources team for advice.</t>
  </si>
  <si>
    <t>No</t>
  </si>
  <si>
    <r>
      <rPr>
        <sz val="10"/>
        <color indexed="9"/>
        <rFont val="Arial"/>
        <family val="2"/>
      </rPr>
      <t xml:space="preserve">For more detailed guidance on leave and how to use this calculator please refer to the Annual Leave and Public Holidays Guidance or contact the HR Team. </t>
    </r>
    <r>
      <rPr>
        <b/>
        <sz val="10"/>
        <color indexed="9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</si>
</sst>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\ dd/mm/yyyy"/>
    <numFmt numFmtId="166" formatCode="dd/mm/yy"/>
  </numFmts>
  <fonts count="2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color indexed="56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9"/>
      <color indexed="81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.5"/>
      <color indexed="9"/>
      <name val="Arial"/>
      <family val="2"/>
    </font>
    <font>
      <b/>
      <u/>
      <sz val="10"/>
      <color theme="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7" fillId="0" borderId="0" xfId="0" applyFont="1" applyAlignment="1">
      <alignment horizontal="left"/>
    </xf>
    <xf numFmtId="14" fontId="2" fillId="3" borderId="1" xfId="0" applyNumberFormat="1" applyFont="1" applyFill="1" applyBorder="1" applyAlignment="1" applyProtection="1">
      <alignment horizontal="center"/>
      <protection locked="0"/>
    </xf>
    <xf numFmtId="164" fontId="2" fillId="2" borderId="1" xfId="0" quotePrefix="1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0" fillId="0" borderId="0" xfId="0" applyFont="1"/>
    <xf numFmtId="164" fontId="2" fillId="0" borderId="0" xfId="0" applyNumberFormat="1" applyFont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14" fontId="2" fillId="5" borderId="1" xfId="0" applyNumberFormat="1" applyFont="1" applyFill="1" applyBorder="1" applyAlignment="1" applyProtection="1">
      <alignment horizontal="center"/>
      <protection locked="0"/>
    </xf>
    <xf numFmtId="14" fontId="15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 vertical="center" wrapText="1"/>
    </xf>
    <xf numFmtId="165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16" fillId="0" borderId="0" xfId="0" applyNumberFormat="1" applyFont="1" applyAlignment="1">
      <alignment horizontal="center" vertical="center" wrapText="1"/>
    </xf>
    <xf numFmtId="166" fontId="15" fillId="0" borderId="0" xfId="0" applyNumberFormat="1" applyFont="1" applyAlignment="1">
      <alignment horizontal="center"/>
    </xf>
    <xf numFmtId="14" fontId="17" fillId="0" borderId="0" xfId="0" quotePrefix="1" applyNumberFormat="1" applyFont="1" applyAlignment="1" applyProtection="1">
      <alignment horizontal="center"/>
      <protection hidden="1"/>
    </xf>
    <xf numFmtId="14" fontId="12" fillId="0" borderId="0" xfId="0" quotePrefix="1" applyNumberFormat="1" applyFont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4" xfId="0" applyFont="1" applyFill="1" applyBorder="1"/>
    <xf numFmtId="14" fontId="2" fillId="5" borderId="4" xfId="0" applyNumberFormat="1" applyFont="1" applyFill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19" fillId="6" borderId="5" xfId="0" applyFont="1" applyFill="1" applyBorder="1" applyAlignment="1">
      <alignment vertical="center" wrapText="1"/>
    </xf>
    <xf numFmtId="0" fontId="19" fillId="7" borderId="6" xfId="0" applyFont="1" applyFill="1" applyBorder="1" applyAlignment="1">
      <alignment vertical="center" wrapText="1"/>
    </xf>
    <xf numFmtId="0" fontId="19" fillId="5" borderId="6" xfId="0" applyFont="1" applyFill="1" applyBorder="1" applyAlignment="1">
      <alignment vertical="center" wrapText="1"/>
    </xf>
    <xf numFmtId="0" fontId="19" fillId="8" borderId="6" xfId="0" applyFont="1" applyFill="1" applyBorder="1" applyAlignment="1">
      <alignment vertical="center" wrapText="1"/>
    </xf>
    <xf numFmtId="0" fontId="19" fillId="9" borderId="6" xfId="0" applyFont="1" applyFill="1" applyBorder="1" applyAlignment="1">
      <alignment vertical="center" wrapText="1"/>
    </xf>
    <xf numFmtId="0" fontId="19" fillId="6" borderId="6" xfId="0" applyFont="1" applyFill="1" applyBorder="1" applyAlignment="1">
      <alignment vertical="center" wrapText="1"/>
    </xf>
    <xf numFmtId="0" fontId="19" fillId="6" borderId="5" xfId="0" applyFont="1" applyFill="1" applyBorder="1" applyAlignment="1">
      <alignment horizontal="right" vertical="center"/>
    </xf>
    <xf numFmtId="0" fontId="19" fillId="7" borderId="6" xfId="0" applyFont="1" applyFill="1" applyBorder="1" applyAlignment="1">
      <alignment horizontal="right" vertical="center"/>
    </xf>
    <xf numFmtId="0" fontId="19" fillId="10" borderId="6" xfId="0" applyFont="1" applyFill="1" applyBorder="1" applyAlignment="1">
      <alignment horizontal="right" vertical="center"/>
    </xf>
    <xf numFmtId="0" fontId="19" fillId="5" borderId="6" xfId="0" applyFont="1" applyFill="1" applyBorder="1" applyAlignment="1">
      <alignment horizontal="right" vertical="center"/>
    </xf>
    <xf numFmtId="0" fontId="19" fillId="8" borderId="6" xfId="0" applyFont="1" applyFill="1" applyBorder="1" applyAlignment="1">
      <alignment horizontal="right" vertical="center"/>
    </xf>
    <xf numFmtId="0" fontId="19" fillId="9" borderId="6" xfId="0" applyFont="1" applyFill="1" applyBorder="1" applyAlignment="1">
      <alignment horizontal="right" vertical="center"/>
    </xf>
    <xf numFmtId="0" fontId="19" fillId="6" borderId="6" xfId="0" applyFont="1" applyFill="1" applyBorder="1" applyAlignment="1">
      <alignment horizontal="right" vertical="center"/>
    </xf>
    <xf numFmtId="0" fontId="19" fillId="11" borderId="6" xfId="0" applyFont="1" applyFill="1" applyBorder="1" applyAlignment="1">
      <alignment horizontal="right" vertical="center"/>
    </xf>
    <xf numFmtId="0" fontId="19" fillId="7" borderId="0" xfId="0" applyFont="1" applyFill="1" applyAlignment="1">
      <alignment horizontal="right" vertical="center"/>
    </xf>
    <xf numFmtId="0" fontId="0" fillId="10" borderId="0" xfId="0" applyFill="1"/>
    <xf numFmtId="0" fontId="15" fillId="12" borderId="0" xfId="0" applyFont="1" applyFill="1"/>
    <xf numFmtId="0" fontId="16" fillId="12" borderId="0" xfId="0" applyFont="1" applyFill="1" applyAlignment="1">
      <alignment horizontal="center" vertical="center" wrapText="1"/>
    </xf>
    <xf numFmtId="0" fontId="21" fillId="0" borderId="0" xfId="0" applyFont="1"/>
    <xf numFmtId="0" fontId="13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5" fillId="13" borderId="0" xfId="0" applyFont="1" applyFill="1" applyAlignment="1">
      <alignment horizontal="center"/>
    </xf>
    <xf numFmtId="0" fontId="5" fillId="13" borderId="0" xfId="0" applyFont="1" applyFill="1" applyAlignment="1">
      <alignment horizontal="left"/>
    </xf>
    <xf numFmtId="0" fontId="10" fillId="13" borderId="0" xfId="0" applyFont="1" applyFill="1" applyAlignment="1">
      <alignment horizontal="left"/>
    </xf>
    <xf numFmtId="0" fontId="0" fillId="13" borderId="0" xfId="0" applyFill="1" applyAlignment="1">
      <alignment horizontal="center"/>
    </xf>
    <xf numFmtId="0" fontId="10" fillId="13" borderId="0" xfId="0" applyFont="1" applyFill="1" applyAlignment="1">
      <alignment horizontal="left" vertical="top" wrapText="1"/>
    </xf>
    <xf numFmtId="0" fontId="10" fillId="13" borderId="0" xfId="0" applyFont="1" applyFill="1" applyAlignment="1">
      <alignment horizontal="left" vertical="top" wrapText="1"/>
    </xf>
    <xf numFmtId="0" fontId="10" fillId="13" borderId="0" xfId="0" applyFont="1" applyFill="1" applyAlignment="1">
      <alignment horizontal="center" vertical="top" wrapText="1"/>
    </xf>
    <xf numFmtId="0" fontId="5" fillId="13" borderId="0" xfId="0" applyFont="1" applyFill="1" applyAlignment="1">
      <alignment horizontal="left" vertical="top" wrapText="1"/>
    </xf>
    <xf numFmtId="0" fontId="14" fillId="13" borderId="0" xfId="1" applyFont="1" applyFill="1" applyAlignment="1" applyProtection="1">
      <alignment vertical="top"/>
    </xf>
    <xf numFmtId="0" fontId="5" fillId="13" borderId="0" xfId="0" applyFont="1" applyFill="1" applyAlignment="1">
      <alignment horizontal="center" vertical="top" wrapText="1"/>
    </xf>
    <xf numFmtId="0" fontId="10" fillId="13" borderId="0" xfId="0" applyFont="1" applyFill="1" applyAlignment="1">
      <alignment horizontal="center" wrapText="1"/>
    </xf>
    <xf numFmtId="0" fontId="10" fillId="13" borderId="0" xfId="0" applyFont="1" applyFill="1" applyAlignment="1">
      <alignment horizontal="left" wrapText="1"/>
    </xf>
    <xf numFmtId="0" fontId="22" fillId="13" borderId="1" xfId="0" applyFont="1" applyFill="1" applyBorder="1"/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4"/>
  <sheetViews>
    <sheetView showGridLines="0" showZeros="0" tabSelected="1" showOutlineSymbols="0" zoomScale="110" zoomScaleNormal="110" workbookViewId="0">
      <selection activeCell="C2" sqref="C2"/>
    </sheetView>
  </sheetViews>
  <sheetFormatPr defaultColWidth="9.1796875" defaultRowHeight="12.5" x14ac:dyDescent="0.25"/>
  <cols>
    <col min="1" max="1" width="2" bestFit="1" customWidth="1"/>
    <col min="2" max="2" width="55.7265625" customWidth="1"/>
    <col min="3" max="3" width="25.90625" customWidth="1"/>
    <col min="4" max="4" width="25.7265625" style="13" customWidth="1"/>
    <col min="5" max="5" width="10.1796875" customWidth="1"/>
    <col min="6" max="6" width="17.453125" bestFit="1" customWidth="1"/>
    <col min="7" max="9" width="17.453125" customWidth="1"/>
  </cols>
  <sheetData>
    <row r="1" spans="1:6" ht="16" thickBot="1" x14ac:dyDescent="0.4">
      <c r="B1" s="3" t="s">
        <v>3</v>
      </c>
    </row>
    <row r="2" spans="1:6" ht="13.5" thickBot="1" x14ac:dyDescent="0.3">
      <c r="A2" s="7">
        <v>1</v>
      </c>
      <c r="B2" s="1" t="s">
        <v>4</v>
      </c>
      <c r="C2" s="10"/>
      <c r="D2" s="26" t="s">
        <v>1</v>
      </c>
    </row>
    <row r="3" spans="1:6" ht="13.5" thickBot="1" x14ac:dyDescent="0.3">
      <c r="B3" s="1" t="s">
        <v>5</v>
      </c>
      <c r="C3" s="10"/>
      <c r="D3" s="27" t="s">
        <v>2</v>
      </c>
    </row>
    <row r="4" spans="1:6" ht="13.5" thickBot="1" x14ac:dyDescent="0.35">
      <c r="B4" s="11"/>
      <c r="C4" s="12"/>
    </row>
    <row r="5" spans="1:6" ht="13.5" thickBot="1" x14ac:dyDescent="0.35">
      <c r="B5" s="2" t="s">
        <v>16</v>
      </c>
      <c r="C5" s="14"/>
      <c r="D5" s="33"/>
    </row>
    <row r="6" spans="1:6" ht="13.5" thickBot="1" x14ac:dyDescent="0.35">
      <c r="B6" s="2" t="s">
        <v>13</v>
      </c>
      <c r="C6" s="4"/>
      <c r="D6" s="32"/>
    </row>
    <row r="7" spans="1:6" ht="13.5" thickBot="1" x14ac:dyDescent="0.35">
      <c r="B7" s="2" t="s">
        <v>30</v>
      </c>
      <c r="C7" s="4"/>
      <c r="D7" s="31"/>
    </row>
    <row r="8" spans="1:6" ht="13.5" thickBot="1" x14ac:dyDescent="0.35">
      <c r="B8" s="2" t="s">
        <v>32</v>
      </c>
      <c r="C8" s="4"/>
      <c r="D8" s="31"/>
    </row>
    <row r="9" spans="1:6" ht="13.5" thickBot="1" x14ac:dyDescent="0.35">
      <c r="B9" s="2" t="s">
        <v>0</v>
      </c>
      <c r="C9" s="15"/>
      <c r="D9" s="31" t="s">
        <v>36</v>
      </c>
    </row>
    <row r="10" spans="1:6" ht="13" x14ac:dyDescent="0.3">
      <c r="B10" s="34"/>
      <c r="C10" s="34"/>
      <c r="D10" s="31"/>
    </row>
    <row r="11" spans="1:6" ht="13" x14ac:dyDescent="0.3">
      <c r="B11" s="35" t="s">
        <v>79</v>
      </c>
      <c r="C11" s="36" t="s">
        <v>83</v>
      </c>
      <c r="D11" s="31"/>
    </row>
    <row r="12" spans="1:6" ht="13" x14ac:dyDescent="0.3">
      <c r="B12" s="35" t="str">
        <f>IF(C11="Yes","How many term time weeks do you work?","")</f>
        <v/>
      </c>
      <c r="C12" s="37"/>
      <c r="D12" s="31"/>
    </row>
    <row r="13" spans="1:6" ht="13" thickBot="1" x14ac:dyDescent="0.3"/>
    <row r="14" spans="1:6" ht="13.5" thickBot="1" x14ac:dyDescent="0.35">
      <c r="B14" s="2" t="s">
        <v>31</v>
      </c>
      <c r="C14" s="4"/>
      <c r="D14" s="30" t="str">
        <f>IF(COUNTA(Mandatory_Data)&lt;3,"",IF(AND(COUNTIF(Leave_Year_Selection,Calculator!C14)=0,C14&lt;&gt;""),"Change Your Selection",IF(C14="","Select a Leave Year","")))</f>
        <v/>
      </c>
    </row>
    <row r="15" spans="1:6" ht="13.5" thickBot="1" x14ac:dyDescent="0.35">
      <c r="B15" s="71" t="str">
        <f>IFERROR(IF(F15="YES", "Total Annual Leave and Bank Holiday Entitlement (hrs)", "Annual Leave (AL) Entitlement (hrs)"),"")</f>
        <v>Annual Leave (AL) Entitlement (hrs)</v>
      </c>
      <c r="C15" s="5" t="str">
        <f>IFERROR((IF(F15="YES",VLOOKUP(C14,'Leave Years'!D:AB,24,0),IF(Contractual_Hours="","",IF(C11="Yes",VLOOKUP(C14,'Leave Years'!D:AB,19,0),IF(OR(C11="No",C11=""),VLOOKUP(C14,'Leave Years'!D:AB,12,0)))))),"")</f>
        <v/>
      </c>
      <c r="D15" s="9"/>
      <c r="F15" s="56" t="b">
        <f>IF(C11="Yes",VLOOKUP(C14,'Leave Years'!D:AB,25,0))</f>
        <v>0</v>
      </c>
    </row>
    <row r="16" spans="1:6" ht="13.5" thickBot="1" x14ac:dyDescent="0.35">
      <c r="B16" s="71" t="str">
        <f>IFERROR(IF(F15="YES","","Bank Holiday (BH) Entitlement (hrs)"),"")</f>
        <v>Bank Holiday (BH) Entitlement (hrs)</v>
      </c>
      <c r="C16" s="5" t="str">
        <f>IFERROR(IF(F15="YES","",IF(Contractual_Hours="","",(IF(C11="Yes",VLOOKUP(C14,'Leave Years'!D:AB,20,0),VLOOKUP(C14,'Leave Years'!D:AB,14,0))))),"")</f>
        <v/>
      </c>
      <c r="D16" s="9"/>
    </row>
    <row r="17" spans="2:4" ht="13" x14ac:dyDescent="0.3">
      <c r="C17" s="6"/>
      <c r="D17" s="8"/>
    </row>
    <row r="18" spans="2:4" x14ac:dyDescent="0.25">
      <c r="B18" s="57" t="s">
        <v>12</v>
      </c>
      <c r="C18" s="57"/>
      <c r="D18" s="58"/>
    </row>
    <row r="19" spans="2:4" ht="13" x14ac:dyDescent="0.3">
      <c r="B19" s="59"/>
      <c r="C19" s="59"/>
      <c r="D19" s="58"/>
    </row>
    <row r="20" spans="2:4" ht="13" x14ac:dyDescent="0.3">
      <c r="B20" s="60" t="s">
        <v>11</v>
      </c>
      <c r="C20" s="60"/>
      <c r="D20" s="58"/>
    </row>
    <row r="21" spans="2:4" x14ac:dyDescent="0.25">
      <c r="B21" s="61" t="s">
        <v>8</v>
      </c>
      <c r="C21" s="61"/>
      <c r="D21" s="58"/>
    </row>
    <row r="22" spans="2:4" x14ac:dyDescent="0.25">
      <c r="B22" s="61" t="s">
        <v>9</v>
      </c>
      <c r="C22" s="61"/>
      <c r="D22" s="58"/>
    </row>
    <row r="23" spans="2:4" x14ac:dyDescent="0.25">
      <c r="B23" s="61" t="s">
        <v>10</v>
      </c>
      <c r="C23" s="61"/>
      <c r="D23" s="58"/>
    </row>
    <row r="24" spans="2:4" x14ac:dyDescent="0.25">
      <c r="B24" s="62"/>
      <c r="C24" s="62"/>
      <c r="D24" s="58"/>
    </row>
    <row r="25" spans="2:4" ht="27.75" customHeight="1" x14ac:dyDescent="0.25">
      <c r="B25" s="63" t="s">
        <v>7</v>
      </c>
      <c r="C25" s="63"/>
      <c r="D25" s="58"/>
    </row>
    <row r="26" spans="2:4" x14ac:dyDescent="0.25">
      <c r="B26" s="64"/>
      <c r="C26" s="64"/>
      <c r="D26" s="58"/>
    </row>
    <row r="27" spans="2:4" ht="24" customHeight="1" x14ac:dyDescent="0.25">
      <c r="B27" s="66" t="s">
        <v>37</v>
      </c>
      <c r="C27" s="66"/>
      <c r="D27" s="58"/>
    </row>
    <row r="28" spans="2:4" x14ac:dyDescent="0.25">
      <c r="B28" s="65"/>
      <c r="C28" s="65"/>
      <c r="D28" s="58"/>
    </row>
    <row r="29" spans="2:4" ht="35" customHeight="1" x14ac:dyDescent="0.25">
      <c r="B29" s="66" t="s">
        <v>84</v>
      </c>
      <c r="C29" s="66"/>
      <c r="D29" s="58"/>
    </row>
    <row r="30" spans="2:4" ht="13" x14ac:dyDescent="0.25">
      <c r="B30" s="67"/>
      <c r="C30" s="68"/>
      <c r="D30" s="58"/>
    </row>
    <row r="31" spans="2:4" ht="25.5" customHeight="1" x14ac:dyDescent="0.25">
      <c r="B31" s="63" t="s">
        <v>82</v>
      </c>
      <c r="C31" s="63"/>
      <c r="D31" s="58"/>
    </row>
    <row r="32" spans="2:4" x14ac:dyDescent="0.25">
      <c r="B32" s="69" t="s">
        <v>6</v>
      </c>
      <c r="C32" s="69"/>
      <c r="D32" s="58"/>
    </row>
    <row r="33" spans="2:4" x14ac:dyDescent="0.25">
      <c r="B33" s="70"/>
      <c r="C33" s="70"/>
      <c r="D33" s="58"/>
    </row>
    <row r="34" spans="2:4" x14ac:dyDescent="0.25">
      <c r="B34" s="62"/>
      <c r="C34" s="62"/>
      <c r="D34" s="58"/>
    </row>
  </sheetData>
  <sheetProtection sheet="1" objects="1" scenarios="1"/>
  <mergeCells count="14">
    <mergeCell ref="B33:C33"/>
    <mergeCell ref="B32:C32"/>
    <mergeCell ref="B34:C34"/>
    <mergeCell ref="B23:C23"/>
    <mergeCell ref="B25:C25"/>
    <mergeCell ref="B24:C24"/>
    <mergeCell ref="B27:C27"/>
    <mergeCell ref="B29:C29"/>
    <mergeCell ref="B31:C31"/>
    <mergeCell ref="B18:C18"/>
    <mergeCell ref="B19:C19"/>
    <mergeCell ref="B20:C20"/>
    <mergeCell ref="B21:C21"/>
    <mergeCell ref="B22:C22"/>
  </mergeCells>
  <phoneticPr fontId="1" type="noConversion"/>
  <conditionalFormatting sqref="C12">
    <cfRule type="expression" dxfId="0" priority="1">
      <formula>$C$11="Yes"</formula>
    </cfRule>
  </conditionalFormatting>
  <dataValidations count="3">
    <dataValidation type="list" allowBlank="1" showInputMessage="1" showErrorMessage="1" sqref="C14" xr:uid="{00000000-0002-0000-0000-000000000000}">
      <formula1>Leave_Year_Selection</formula1>
    </dataValidation>
    <dataValidation type="list" allowBlank="1" showInputMessage="1" showErrorMessage="1" sqref="C11" xr:uid="{65054300-E1F3-4175-BE2C-9F2F681531F2}">
      <formula1>"Yes, No"</formula1>
    </dataValidation>
    <dataValidation type="list" allowBlank="1" showInputMessage="1" showErrorMessage="1" sqref="C12" xr:uid="{428B4145-C642-4F3B-9BE1-E453199A1B84}">
      <formula1>"38,39,40,41"</formula1>
    </dataValidation>
  </dataValidation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6"/>
  <sheetViews>
    <sheetView workbookViewId="0">
      <pane ySplit="1" topLeftCell="A2" activePane="bottomLeft" state="frozen"/>
      <selection pane="bottomLeft" activeCell="B12" sqref="B12"/>
    </sheetView>
  </sheetViews>
  <sheetFormatPr defaultColWidth="20.7265625" defaultRowHeight="10" x14ac:dyDescent="0.2"/>
  <cols>
    <col min="1" max="2" width="20.7265625" style="18"/>
    <col min="3" max="16384" width="20.7265625" style="17"/>
  </cols>
  <sheetData>
    <row r="1" spans="1:2" s="21" customFormat="1" x14ac:dyDescent="0.2">
      <c r="A1" s="21" t="s">
        <v>19</v>
      </c>
      <c r="B1" s="21" t="s">
        <v>20</v>
      </c>
    </row>
    <row r="2" spans="1:2" x14ac:dyDescent="0.2">
      <c r="A2" s="18">
        <v>0</v>
      </c>
      <c r="B2" s="18">
        <v>25</v>
      </c>
    </row>
    <row r="3" spans="1:2" x14ac:dyDescent="0.2">
      <c r="A3" s="18">
        <v>1</v>
      </c>
      <c r="B3" s="18">
        <v>26</v>
      </c>
    </row>
    <row r="4" spans="1:2" x14ac:dyDescent="0.2">
      <c r="A4" s="18">
        <v>2</v>
      </c>
      <c r="B4" s="18">
        <v>28</v>
      </c>
    </row>
    <row r="5" spans="1:2" x14ac:dyDescent="0.2">
      <c r="A5" s="18">
        <v>3</v>
      </c>
      <c r="B5" s="18">
        <v>30</v>
      </c>
    </row>
    <row r="6" spans="1:2" x14ac:dyDescent="0.2">
      <c r="A6" s="18">
        <v>4</v>
      </c>
      <c r="B6" s="18">
        <v>31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26"/>
  <sheetViews>
    <sheetView topLeftCell="D1" zoomScale="115" zoomScaleNormal="115" workbookViewId="0">
      <pane ySplit="1" topLeftCell="A2" activePane="bottomLeft" state="frozen"/>
      <selection pane="bottomLeft" activeCell="H21" sqref="H21"/>
    </sheetView>
  </sheetViews>
  <sheetFormatPr defaultColWidth="10.7265625" defaultRowHeight="10" x14ac:dyDescent="0.2"/>
  <cols>
    <col min="1" max="3" width="10.7265625" style="16"/>
    <col min="4" max="4" width="20.7265625" style="18" customWidth="1"/>
    <col min="5" max="5" width="15.26953125" style="18" customWidth="1"/>
    <col min="6" max="10" width="10.7265625" style="18"/>
    <col min="11" max="11" width="10.7265625" style="29"/>
    <col min="12" max="12" width="10.7265625" style="18"/>
    <col min="13" max="13" width="12.81640625" style="17" customWidth="1"/>
    <col min="14" max="14" width="10.7265625" style="18"/>
    <col min="15" max="15" width="10.7265625" style="24"/>
    <col min="16" max="17" width="10.7265625" style="18"/>
    <col min="18" max="23" width="10.7265625" style="17"/>
    <col min="24" max="24" width="14.1796875" style="17" customWidth="1"/>
    <col min="25" max="16384" width="10.7265625" style="17"/>
  </cols>
  <sheetData>
    <row r="1" spans="1:28" s="20" customFormat="1" ht="60" x14ac:dyDescent="0.25">
      <c r="A1" s="19" t="s">
        <v>29</v>
      </c>
      <c r="B1" s="19" t="s">
        <v>14</v>
      </c>
      <c r="C1" s="19" t="s">
        <v>15</v>
      </c>
      <c r="D1" s="20" t="s">
        <v>34</v>
      </c>
      <c r="E1" s="20" t="s">
        <v>35</v>
      </c>
      <c r="F1" s="20" t="s">
        <v>26</v>
      </c>
      <c r="G1" s="19" t="s">
        <v>25</v>
      </c>
      <c r="H1" s="19" t="s">
        <v>17</v>
      </c>
      <c r="I1" s="19" t="s">
        <v>18</v>
      </c>
      <c r="J1" s="19" t="s">
        <v>38</v>
      </c>
      <c r="K1" s="28" t="s">
        <v>21</v>
      </c>
      <c r="L1" s="20" t="s">
        <v>23</v>
      </c>
      <c r="M1" s="20" t="s">
        <v>24</v>
      </c>
      <c r="N1" s="20" t="s">
        <v>33</v>
      </c>
      <c r="O1" s="25" t="s">
        <v>71</v>
      </c>
      <c r="P1" s="20" t="s">
        <v>27</v>
      </c>
      <c r="Q1" s="20" t="s">
        <v>28</v>
      </c>
      <c r="R1" s="20" t="s">
        <v>66</v>
      </c>
      <c r="S1" s="20" t="s">
        <v>67</v>
      </c>
      <c r="T1" s="20" t="s">
        <v>69</v>
      </c>
      <c r="U1" s="20" t="s">
        <v>68</v>
      </c>
      <c r="V1" s="20" t="s">
        <v>70</v>
      </c>
      <c r="W1" s="20" t="s">
        <v>65</v>
      </c>
      <c r="X1" s="55" t="s">
        <v>74</v>
      </c>
      <c r="Y1" s="20" t="s">
        <v>75</v>
      </c>
      <c r="Z1" s="20" t="s">
        <v>76</v>
      </c>
      <c r="AA1" s="20" t="s">
        <v>77</v>
      </c>
      <c r="AB1" s="20" t="s">
        <v>78</v>
      </c>
    </row>
    <row r="2" spans="1:28" x14ac:dyDescent="0.2">
      <c r="A2" s="16" t="str">
        <f ca="1">IF(COUNTA(Mandatory_Data)&lt;3,"",IF(AND(Leaving_Date&lt;&gt;"",Leaving_Date&lt;DATE(YEAR(Date_of_Birth)+DATEDIF(Date_of_Birth,TODAY(),"Y")+(ROW(A2)-4),MONTH(Date_of_Birth),DAY(Date_of_Birth))),"",DATE(YEAR(Date_of_Birth)+DATEDIF(Date_of_Birth,TODAY(),"Y")+(ROW(A2)-4),MONTH(Date_of_Birth),DAY(Date_of_Birth))))</f>
        <v/>
      </c>
      <c r="B2" s="16" t="str">
        <f ca="1">IF(Start_Date&gt;Birthday_1,Start_Date,Birthday_1)</f>
        <v/>
      </c>
      <c r="C2" s="16" t="str">
        <f ca="1">IF(Birthday_1="","",IF(AND(Leaving_Date&lt;&gt;"",Leaving_Date&lt;DATE(YEAR(Birthday_1)+1,MONTH(Birthday_1),DAY(Birthday_1))-1),Leaving_Date,DATE(YEAR(Birthday_1)+1,MONTH(Birthday_1),DAY(Birthday_1))-1))</f>
        <v/>
      </c>
      <c r="D2" s="18" t="str">
        <f ca="1">IF(Leave_Year_Start_1="","",TEXT(Leave_Year_Start_1,"dd/mm/yyyy")&amp;" - "&amp;TEXT(Leave_Year_End_1,"dd/mm/yyyy"))</f>
        <v/>
      </c>
      <c r="E2" s="16" t="str">
        <f ca="1">IF(Birthday_1="","",Birthday_1+(F2-1))</f>
        <v/>
      </c>
      <c r="F2" s="18" t="str">
        <f ca="1">IF(Birthday_1="","",(DATE(YEAR(Birthday_1)+1,MONTH(Birthday_1),DAY(Birthday_1))-1)-Birthday_1+1)</f>
        <v/>
      </c>
      <c r="G2" s="18" t="str">
        <f ca="1">IF(Birthday_1="","",Leave_Year_End_1-Leave_Year_Start_1+1)</f>
        <v/>
      </c>
      <c r="H2" s="18" t="str">
        <f ca="1">IF(Birthday_1="","",IF(DATEDIF(IF(Reckonable_Service_Date="",Start_Date,Reckonable_Service_Date),Leave_Year_Start_1,"Y")&gt;3,4,DATEDIF(IF(Reckonable_Service_Date="",Start_Date,Reckonable_Service_Date),Leave_Year_Start_1,"Y")))</f>
        <v/>
      </c>
      <c r="I2" s="18" t="str">
        <f ca="1">IF(Birthday_1="","",IF(DATEDIF(IF(Reckonable_Service_Date="",Start_Date,Reckonable_Service_Date),Leave_Year_End_1,"Y")&gt;3,4,DATEDIF(IF(Reckonable_Service_Date="",Start_Date,Reckonable_Service_Date),Leave_Year_End_1,"Y")))</f>
        <v/>
      </c>
      <c r="J2" s="18">
        <f>IF(Calculator!$C$11="YES",Calculator!$C$12,IF(Calculator!$C$11="",52.143,IF(Calculator!$C$11="No",52.143)))</f>
        <v>52.143000000000001</v>
      </c>
      <c r="K2" s="29" t="str">
        <f ca="1">IF(I2&gt;H2,DATE(YEAR(IF(Reckonable_Service_Date="",Start_Date,Reckonable_Service_Date))+I2,MONTH(IF(Reckonable_Service_Date="",Start_Date,Reckonable_Service_Date)),DAY(IF(Reckonable_Service_Date="",Start_Date,Reckonable_Service_Date))),"")</f>
        <v/>
      </c>
      <c r="L2" s="18" t="str">
        <f ca="1">IF(K2&lt;&gt;"",((K2-Birthday_1)/G2)*VLOOKUP(H2,'Entitlement Table'!$A:$B,2,0),"")</f>
        <v/>
      </c>
      <c r="M2" s="17" t="str">
        <f ca="1">IF(K2&lt;&gt;"",((Leave_Year_End_1-K2+1)/G2)*VLOOKUP(I2,'Entitlement Table'!$A:$B,2,0),"")</f>
        <v/>
      </c>
      <c r="N2" s="18" t="str">
        <f ca="1">IF(Birthday_1="","",IF(K2="",VLOOKUP(H2,'Entitlement Table'!A:B,2,0),(L2+M2)))</f>
        <v/>
      </c>
      <c r="O2" s="24" t="str">
        <f ca="1">IF(Birthday_1="","",IF(G2&lt;=0,"",MROUND((Calculator!$C$5/37)*(N2*7.4)*(G2/F2),0.5)))</f>
        <v/>
      </c>
      <c r="P2" s="18" t="str">
        <f ca="1">IF(Birthday_1="","",COUNTIF('Public Holidays'!A:A,"&gt;="&amp;Birthday_1)-COUNTIF('Public Holidays'!A:A,"&gt;"&amp;E2))</f>
        <v/>
      </c>
      <c r="Q2" s="18" t="str">
        <f ca="1">IF(Birthday_1="","",IF(G2&lt;=0,"",(Calculator!$C$5/37)*(P2*7.4)*(G2/F2)))</f>
        <v/>
      </c>
      <c r="R2" s="17" t="e">
        <f ca="1">((52.143*5)-N2-P2)/5</f>
        <v>#VALUE!</v>
      </c>
      <c r="S2" s="17" t="e">
        <f ca="1">(((G2/7)*5)-U2-T2)/5</f>
        <v>#VALUE!</v>
      </c>
      <c r="T2" s="18" t="str">
        <f ca="1">IF(Birthday_1="","",COUNTIF('Public Holidays'!A:A,"&gt;="&amp;Birthday_1)-COUNTIF('Public Holidays'!A:A,"&gt;"&amp;C2))</f>
        <v/>
      </c>
      <c r="U2" s="17" t="e">
        <f ca="1">N2*G2/F2</f>
        <v>#VALUE!</v>
      </c>
      <c r="V2" s="54" t="e">
        <f ca="1">(J2/R2*U2)*7.4</f>
        <v>#VALUE!</v>
      </c>
      <c r="W2" s="54" t="e">
        <f ca="1">(J2/R2*T2)*7.4</f>
        <v>#VALUE!</v>
      </c>
      <c r="X2" s="17" t="e">
        <f ca="1">((V2+W2)/7.24)/5</f>
        <v>#VALUE!</v>
      </c>
      <c r="Y2" s="17" t="e">
        <f t="shared" ref="Y2:Y4" ca="1" si="0">5.6*(G2/F2)</f>
        <v>#VALUE!</v>
      </c>
      <c r="Z2" s="17" t="e">
        <f t="shared" ref="Z2:Z5" ca="1" si="1">IF(X2&gt;Y2,X2,Y2)</f>
        <v>#VALUE!</v>
      </c>
      <c r="AA2" s="17" t="e">
        <f t="shared" ref="AA2:AA5" ca="1" si="2">(Z2*5)*7.24</f>
        <v>#VALUE!</v>
      </c>
      <c r="AB2" s="17" t="e">
        <f ca="1">IF(Y2&gt;X2,"YES","NO")</f>
        <v>#VALUE!</v>
      </c>
    </row>
    <row r="3" spans="1:28" x14ac:dyDescent="0.2">
      <c r="A3" s="16" t="str">
        <f ca="1">IF(COUNTA(Mandatory_Data)&lt;3,"",IF(AND(Leaving_Date&lt;&gt;"",Leaving_Date&lt;DATE(YEAR(Date_of_Birth)+DATEDIF(Date_of_Birth,TODAY(),"Y")+(ROW(A3)-4),MONTH(Date_of_Birth),DAY(Date_of_Birth))),"",DATE(YEAR(Date_of_Birth)+DATEDIF(Date_of_Birth,TODAY(),"Y")+(ROW(A3)-4),MONTH(Date_of_Birth),DAY(Date_of_Birth))))</f>
        <v/>
      </c>
      <c r="B3" s="16" t="str">
        <f ca="1">IF(Start_Date&gt;Birthday_2,Start_Date,Birthday_2)</f>
        <v/>
      </c>
      <c r="C3" s="16" t="str">
        <f ca="1">IF(Birthday_2="","",IF(AND(Leaving_Date&lt;&gt;"",Leaving_Date&lt;DATE(YEAR(Birthday_2)+1,MONTH(Birthday_2),DAY(Birthday_2))-1),Leaving_Date,DATE(YEAR(Birthday_2)+1,MONTH(Birthday_2),DAY(Birthday_2))-1))</f>
        <v/>
      </c>
      <c r="D3" s="18" t="str">
        <f ca="1">IF(Leave_Year_Start_2="","",TEXT(Leave_Year_Start_2,"dd/mm/yyyy")&amp;" - "&amp;TEXT(Leave_Year_End_2,"dd/mm/yyyy"))</f>
        <v/>
      </c>
      <c r="E3" s="16" t="str">
        <f ca="1">IF(Birthday_2="","",Birthday_2+(F3-1))</f>
        <v/>
      </c>
      <c r="F3" s="18" t="str">
        <f ca="1">IF(Birthday_2="","",(DATE(YEAR(Birthday_2)+1,MONTH(Birthday_2),DAY(Birthday_2))-1)-Birthday_2+1)</f>
        <v/>
      </c>
      <c r="G3" s="18" t="str">
        <f ca="1">IF(Birthday_2="","",Leave_Year_End_2-Leave_Year_Start_2+1)</f>
        <v/>
      </c>
      <c r="H3" s="18" t="str">
        <f ca="1">IF(Birthday_2="","",IF(DATEDIF(IF(Reckonable_Service_Date="",Start_Date,Reckonable_Service_Date),Leave_Year_Start_2,"Y")&gt;3,4,DATEDIF(IF(Reckonable_Service_Date="",Start_Date,Reckonable_Service_Date),Leave_Year_Start_2,"Y")))</f>
        <v/>
      </c>
      <c r="I3" s="18" t="str">
        <f ca="1">IF(Birthday_2="","",IF(DATEDIF(IF(Reckonable_Service_Date="",Start_Date,Reckonable_Service_Date),Leave_Year_End_2,"Y")&gt;3,4,DATEDIF(IF(Reckonable_Service_Date="",Start_Date,Reckonable_Service_Date),Leave_Year_End_2,"Y")))</f>
        <v/>
      </c>
      <c r="J3" s="18">
        <f>IF(Calculator!$C$11="YES",Calculator!$C$12,IF(Calculator!$C$11="",52.143,IF(Calculator!$C$11="No",52.143)))</f>
        <v>52.143000000000001</v>
      </c>
      <c r="K3" s="29" t="str">
        <f ca="1">IF(I3&gt;H3,DATE(YEAR(IF(Reckonable_Service_Date="",Start_Date,Reckonable_Service_Date))+I3,MONTH(IF(Reckonable_Service_Date="",Start_Date,Reckonable_Service_Date)),DAY(IF(Reckonable_Service_Date="",Start_Date,Reckonable_Service_Date))),"")</f>
        <v/>
      </c>
      <c r="L3" s="18" t="str">
        <f ca="1">IF(K3&lt;&gt;"",((K3-Birthday_2)/G3)*VLOOKUP(H3,'Entitlement Table'!$A:$B,2,0),"")</f>
        <v/>
      </c>
      <c r="M3" s="17" t="str">
        <f ca="1">IF(K3&lt;&gt;"",((Leave_Year_End_2-K3+1)/G3)*VLOOKUP(I3,'Entitlement Table'!$A:$B,2,0),"")</f>
        <v/>
      </c>
      <c r="N3" s="18" t="str">
        <f ca="1">IF(Birthday_2="","",IF(K3="",VLOOKUP(H3,'Entitlement Table'!A:B,2,0),(L3+M3)))</f>
        <v/>
      </c>
      <c r="O3" s="24" t="str">
        <f ca="1">IF(Birthday_2="","",IF(G3&lt;=0,"",MROUND((Calculator!$C$5/37)*(N3*7.4)*(G3/F3),0.5)))</f>
        <v/>
      </c>
      <c r="P3" s="18" t="str">
        <f ca="1">IF(Birthday_2="","",COUNTIF('Public Holidays'!A:A,"&gt;="&amp;Birthday_2)-COUNTIF('Public Holidays'!A:A,"&gt;"&amp;E3))</f>
        <v/>
      </c>
      <c r="Q3" s="18" t="str">
        <f ca="1">IF(Birthday_2="","",IF(G3&lt;=0,"",(Calculator!$C$5/37)*(P3*7.4)*(G3/F3)))</f>
        <v/>
      </c>
      <c r="R3" s="17" t="e">
        <f t="shared" ref="R3:R6" ca="1" si="3">((52.143*5)-N3-P3)/5</f>
        <v>#VALUE!</v>
      </c>
      <c r="S3" s="17" t="e">
        <f t="shared" ref="S3:S6" ca="1" si="4">(((G3/7)*5)-U3-T3)/5</f>
        <v>#VALUE!</v>
      </c>
      <c r="T3" s="18" t="str">
        <f ca="1">IF(Birthday_2="","",COUNTIF('Public Holidays'!A:A,"&gt;="&amp;Birthday_2)-COUNTIF('Public Holidays'!A:A,"&gt;"&amp;C3))</f>
        <v/>
      </c>
      <c r="U3" s="17" t="e">
        <f t="shared" ref="U3:U6" ca="1" si="5">N3*G3/F3</f>
        <v>#VALUE!</v>
      </c>
      <c r="V3" s="54" t="e">
        <f t="shared" ref="V3:V6" ca="1" si="6">(J3/R3*U3)*7.4</f>
        <v>#VALUE!</v>
      </c>
      <c r="W3" s="54" t="e">
        <f t="shared" ref="W3:W6" ca="1" si="7">(J3/R3*T3)*7.4</f>
        <v>#VALUE!</v>
      </c>
      <c r="X3" s="17" t="e">
        <f t="shared" ref="X3:X6" ca="1" si="8">((V3+W3)/7.24)/5</f>
        <v>#VALUE!</v>
      </c>
      <c r="Y3" s="17" t="e">
        <f t="shared" ca="1" si="0"/>
        <v>#VALUE!</v>
      </c>
      <c r="Z3" s="17" t="e">
        <f t="shared" ca="1" si="1"/>
        <v>#VALUE!</v>
      </c>
      <c r="AA3" s="17" t="e">
        <f t="shared" ca="1" si="2"/>
        <v>#VALUE!</v>
      </c>
      <c r="AB3" s="17" t="e">
        <f t="shared" ref="AB3:AB6" ca="1" si="9">IF(Y3&gt;X3,"YES","NO")</f>
        <v>#VALUE!</v>
      </c>
    </row>
    <row r="4" spans="1:28" x14ac:dyDescent="0.2">
      <c r="A4" s="16" t="str">
        <f ca="1">IF(COUNTA(Mandatory_Data)&lt;3,"",IF(AND(Leaving_Date&lt;&gt;"",Leaving_Date&lt;DATE(YEAR(Date_of_Birth)+DATEDIF(Date_of_Birth,TODAY(),"Y")+(ROW(A4)-4),MONTH(Date_of_Birth),DAY(Date_of_Birth))),"",DATE(YEAR(Date_of_Birth)+DATEDIF(Date_of_Birth,TODAY(),"Y")+(ROW(A4)-4),MONTH(Date_of_Birth),DAY(Date_of_Birth))))</f>
        <v/>
      </c>
      <c r="B4" s="16" t="str">
        <f ca="1">IF(Start_Date&gt;Birthday_3,Start_Date,Birthday_3)</f>
        <v/>
      </c>
      <c r="C4" s="16" t="str">
        <f ca="1">IF(Birthday_3="","",IF(AND(Leaving_Date&lt;&gt;"",Leaving_Date&lt;DATE(YEAR(Birthday_3)+1,MONTH(Birthday_3),DAY(Birthday_3))-1),Leaving_Date,DATE(YEAR(Birthday_3)+1,MONTH(Birthday_3),DAY(Birthday_3))-1))</f>
        <v/>
      </c>
      <c r="D4" s="18" t="str">
        <f ca="1">IF(Leave_Year_Start_3="","",TEXT(Leave_Year_Start_3,"dd/mm/yyyy")&amp;" - "&amp;TEXT(Leave_Year_End_3,"dd/mm/yyyy"))</f>
        <v/>
      </c>
      <c r="E4" s="16" t="str">
        <f ca="1">IF(Birthday_3="","",Birthday_3+(F4-1))</f>
        <v/>
      </c>
      <c r="F4" s="18" t="str">
        <f ca="1">IF(Birthday_3="","",(DATE(YEAR(Birthday_3)+1,MONTH(Birthday_3),DAY(Birthday_3))-1)-Birthday_3+1)</f>
        <v/>
      </c>
      <c r="G4" s="18" t="str">
        <f ca="1">IF(Birthday_3="","",Leave_Year_End_3-Leave_Year_Start_3+1)</f>
        <v/>
      </c>
      <c r="H4" s="18" t="str">
        <f ca="1">IF(Birthday_3="","",IF(DATEDIF(IF(Reckonable_Service_Date="",Start_Date,Reckonable_Service_Date),Leave_Year_Start_3,"Y")&gt;3,4,DATEDIF(IF(Reckonable_Service_Date="",Start_Date,Reckonable_Service_Date),Leave_Year_Start_3,"Y")))</f>
        <v/>
      </c>
      <c r="I4" s="18" t="str">
        <f ca="1">IF(Birthday_3="","",IF(DATEDIF(IF(Reckonable_Service_Date="",Start_Date,Reckonable_Service_Date),Leave_Year_End_3,"Y")&gt;3,4,DATEDIF(IF(Reckonable_Service_Date="",Start_Date,Reckonable_Service_Date),Leave_Year_End_3,"Y")))</f>
        <v/>
      </c>
      <c r="J4" s="18">
        <f>IF(Calculator!$C$11="YES",Calculator!$C$12,IF(Calculator!$C$11="",52.143,IF(Calculator!$C$11="No",52.143)))</f>
        <v>52.143000000000001</v>
      </c>
      <c r="K4" s="29" t="str">
        <f ca="1">IF(I4&gt;H4,DATE(YEAR(IF(Reckonable_Service_Date="",Start_Date,Reckonable_Service_Date))+I4,MONTH(IF(Reckonable_Service_Date="",Start_Date,Reckonable_Service_Date)),DAY(IF(Reckonable_Service_Date="",Start_Date,Reckonable_Service_Date))),"")</f>
        <v/>
      </c>
      <c r="L4" s="18" t="str">
        <f ca="1">IF(K4&lt;&gt;"",((K4-Birthday_3)/G4)*VLOOKUP(H4,'Entitlement Table'!$A:$B,2,0),"")</f>
        <v/>
      </c>
      <c r="M4" s="17" t="str">
        <f ca="1">IF(K4&lt;&gt;"",((Leave_Year_End_3-K4+1)/G4)*VLOOKUP(I4,'Entitlement Table'!$A:$B,2,0),"")</f>
        <v/>
      </c>
      <c r="N4" s="18" t="str">
        <f ca="1">IF(Birthday_3="","",IF(K4="",VLOOKUP(H4,'Entitlement Table'!A:B,2,0),(L4+M4)))</f>
        <v/>
      </c>
      <c r="O4" s="24" t="str">
        <f ca="1">IF(Birthday_3="","",IF(G4&lt;=0,"",MROUND((Calculator!$C$5/37)*(N4*7.4)*(G4/F4),0.5)))</f>
        <v/>
      </c>
      <c r="P4" s="18" t="str">
        <f ca="1">IF(Birthday_3="","",COUNTIF('Public Holidays'!A:A,"&gt;="&amp;Birthday_3)-COUNTIF('Public Holidays'!A:A,"&gt;"&amp;E4))</f>
        <v/>
      </c>
      <c r="Q4" s="18" t="str">
        <f ca="1">IF(Birthday_3="","",IF(G4&lt;=0,"",(Calculator!$C$5/37)*(P4*7.4)*(G4/F4)))</f>
        <v/>
      </c>
      <c r="R4" s="17" t="e">
        <f t="shared" ca="1" si="3"/>
        <v>#VALUE!</v>
      </c>
      <c r="S4" s="17" t="e">
        <f t="shared" ca="1" si="4"/>
        <v>#VALUE!</v>
      </c>
      <c r="T4" s="18" t="str">
        <f ca="1">IF(Birthday_3="","",COUNTIF('Public Holidays'!A:A,"&gt;="&amp;Birthday_3)-COUNTIF('Public Holidays'!A:A,"&gt;"&amp;C4))</f>
        <v/>
      </c>
      <c r="U4" s="17" t="e">
        <f t="shared" ca="1" si="5"/>
        <v>#VALUE!</v>
      </c>
      <c r="V4" s="54" t="e">
        <f t="shared" ca="1" si="6"/>
        <v>#VALUE!</v>
      </c>
      <c r="W4" s="54" t="e">
        <f t="shared" ca="1" si="7"/>
        <v>#VALUE!</v>
      </c>
      <c r="X4" s="17" t="e">
        <f t="shared" ca="1" si="8"/>
        <v>#VALUE!</v>
      </c>
      <c r="Y4" s="17" t="e">
        <f t="shared" ca="1" si="0"/>
        <v>#VALUE!</v>
      </c>
      <c r="Z4" s="17" t="e">
        <f t="shared" ca="1" si="1"/>
        <v>#VALUE!</v>
      </c>
      <c r="AA4" s="17" t="e">
        <f t="shared" ca="1" si="2"/>
        <v>#VALUE!</v>
      </c>
      <c r="AB4" s="17" t="e">
        <f t="shared" ca="1" si="9"/>
        <v>#VALUE!</v>
      </c>
    </row>
    <row r="5" spans="1:28" x14ac:dyDescent="0.2">
      <c r="A5" s="16" t="str">
        <f ca="1">IF(COUNTA(Mandatory_Data)&lt;3,"",IF(AND(Leaving_Date&lt;&gt;"",Leaving_Date&lt;DATE(YEAR(Date_of_Birth)+DATEDIF(Date_of_Birth,TODAY(),"Y")+(ROW(A5)-4),MONTH(Date_of_Birth),DAY(Date_of_Birth))),"",DATE(YEAR(Date_of_Birth)+DATEDIF(Date_of_Birth,TODAY(),"Y")+(ROW(A5)-4),MONTH(Date_of_Birth),DAY(Date_of_Birth))))</f>
        <v/>
      </c>
      <c r="B5" s="16" t="str">
        <f ca="1">IF(Start_Date&gt;Birthday_4,Start_Date,Birthday_4)</f>
        <v/>
      </c>
      <c r="C5" s="16" t="str">
        <f ca="1">IF(Birthday_4="","",IF(AND(Leaving_Date&lt;&gt;"",Leaving_Date&lt;DATE(YEAR(Birthday_4)+1,MONTH(Birthday_4),DAY(Birthday_4))-1),Leaving_Date,DATE(YEAR(Birthday_4)+1,MONTH(Birthday_4),DAY(Birthday_4))-1))</f>
        <v/>
      </c>
      <c r="D5" s="18" t="str">
        <f ca="1">IF(Leave_Year_Start_4="","",TEXT(Leave_Year_Start_4,"dd/mm/yyyy")&amp;" - "&amp;TEXT(Leave_Year_End_4,"dd/mm/yyyy"))</f>
        <v/>
      </c>
      <c r="E5" s="16" t="str">
        <f ca="1">IF(Birthday_4="","",Birthday_4+(F5-1))</f>
        <v/>
      </c>
      <c r="F5" s="18" t="str">
        <f ca="1">IF(Birthday_4="","",(DATE(YEAR(Birthday_4)+1,MONTH(Birthday_4),DAY(Birthday_4))-1)-Birthday_4+1)</f>
        <v/>
      </c>
      <c r="G5" s="18" t="str">
        <f ca="1">IF(Birthday_4="","",Leave_Year_End_4-Leave_Year_Start_4+1)</f>
        <v/>
      </c>
      <c r="H5" s="18" t="str">
        <f ca="1">IF(Birthday_4="","",IF(DATEDIF(IF(Reckonable_Service_Date="",Start_Date,Reckonable_Service_Date),Leave_Year_Start_4,"Y")&gt;3,4,DATEDIF(IF(Reckonable_Service_Date="",Start_Date,Reckonable_Service_Date),Leave_Year_Start_4,"Y")))</f>
        <v/>
      </c>
      <c r="I5" s="18" t="str">
        <f ca="1">IF(Birthday_4="","",IF(DATEDIF(IF(Reckonable_Service_Date="",Start_Date,Reckonable_Service_Date),Leave_Year_End_4,"Y")&gt;3,4,DATEDIF(IF(Reckonable_Service_Date="",Start_Date,Reckonable_Service_Date),Leave_Year_End_4,"Y")))</f>
        <v/>
      </c>
      <c r="J5" s="18">
        <f>IF(Calculator!$C$11="YES",Calculator!$C$12,IF(Calculator!$C$11="",52.143,IF(Calculator!$C$11="No",52.143)))</f>
        <v>52.143000000000001</v>
      </c>
      <c r="K5" s="29" t="str">
        <f ca="1">IF(I5&gt;H5,DATE(YEAR(IF(Reckonable_Service_Date="",Start_Date,Reckonable_Service_Date))+I5,MONTH(IF(Reckonable_Service_Date="",Start_Date,Reckonable_Service_Date)),DAY(IF(Reckonable_Service_Date="",Start_Date,Reckonable_Service_Date))),"")</f>
        <v/>
      </c>
      <c r="L5" s="18" t="str">
        <f ca="1">IF(K5&lt;&gt;"",((K5-Birthday_4)/G5)*VLOOKUP(H5,'Entitlement Table'!$A:$B,2,0),"")</f>
        <v/>
      </c>
      <c r="M5" s="17" t="str">
        <f ca="1">IF(K5&lt;&gt;"",((Leave_Year_End_4-K5+1)/G5)*VLOOKUP(I5,'Entitlement Table'!$A:$B,2,0),"")</f>
        <v/>
      </c>
      <c r="N5" s="18" t="str">
        <f ca="1">IF(Birthday_4="","",IF(K5="",VLOOKUP(H5,'Entitlement Table'!A:B,2,0),(L5+M5)))</f>
        <v/>
      </c>
      <c r="O5" s="24" t="str">
        <f ca="1">IF(Birthday_4="","",IF(G5&lt;=0,"",MROUND((Calculator!$C$5/37)*(N5*7.4)*(G5/F5),0.5)))</f>
        <v/>
      </c>
      <c r="P5" s="18" t="str">
        <f ca="1">IF(Birthday_4="","",COUNTIF('Public Holidays'!A:A,"&gt;="&amp;Birthday_4)-COUNTIF('Public Holidays'!A:A,"&gt;"&amp;E5))</f>
        <v/>
      </c>
      <c r="Q5" s="18" t="str">
        <f ca="1">IF(Birthday_4="","",IF(G5&lt;=0,"",(Calculator!$C$5/37)*(P5*7.4)*(G5/F5)))</f>
        <v/>
      </c>
      <c r="R5" s="17" t="e">
        <f t="shared" ca="1" si="3"/>
        <v>#VALUE!</v>
      </c>
      <c r="S5" s="17" t="e">
        <f t="shared" ca="1" si="4"/>
        <v>#VALUE!</v>
      </c>
      <c r="T5" s="18" t="str">
        <f ca="1">IF(Birthday_4="","",COUNTIF('Public Holidays'!A:A,"&gt;="&amp;Birthday_4)-COUNTIF('Public Holidays'!A:A,"&gt;"&amp;C5))</f>
        <v/>
      </c>
      <c r="U5" s="17" t="e">
        <f t="shared" ca="1" si="5"/>
        <v>#VALUE!</v>
      </c>
      <c r="V5" s="54" t="e">
        <f t="shared" ca="1" si="6"/>
        <v>#VALUE!</v>
      </c>
      <c r="W5" s="54" t="e">
        <f t="shared" ca="1" si="7"/>
        <v>#VALUE!</v>
      </c>
      <c r="X5" s="17" t="e">
        <f t="shared" ca="1" si="8"/>
        <v>#VALUE!</v>
      </c>
      <c r="Y5" s="17" t="e">
        <f ca="1">5.6*(G5/F5)</f>
        <v>#VALUE!</v>
      </c>
      <c r="Z5" s="17" t="e">
        <f t="shared" ca="1" si="1"/>
        <v>#VALUE!</v>
      </c>
      <c r="AA5" s="17" t="e">
        <f t="shared" ca="1" si="2"/>
        <v>#VALUE!</v>
      </c>
      <c r="AB5" s="17" t="e">
        <f t="shared" ca="1" si="9"/>
        <v>#VALUE!</v>
      </c>
    </row>
    <row r="6" spans="1:28" x14ac:dyDescent="0.2">
      <c r="A6" s="16" t="str">
        <f ca="1">IF(COUNTA(Mandatory_Data)&lt;3,"",IF(AND(Leaving_Date&lt;&gt;"",Leaving_Date&lt;DATE(YEAR(Date_of_Birth)+DATEDIF(Date_of_Birth,TODAY(),"Y")+(ROW(A6)-4),MONTH(Date_of_Birth),DAY(Date_of_Birth))),"",DATE(YEAR(Date_of_Birth)+DATEDIF(Date_of_Birth,TODAY(),"Y")+(ROW(A6)-4),MONTH(Date_of_Birth),DAY(Date_of_Birth))))</f>
        <v/>
      </c>
      <c r="B6" s="16" t="str">
        <f ca="1">IF(Start_Date&gt;Birthday_5,Start_Date,Birthday_5)</f>
        <v/>
      </c>
      <c r="C6" s="16" t="str">
        <f ca="1">IF(Birthday_5="","",IF(AND(Leaving_Date&lt;&gt;"",Leaving_Date&lt;DATE(YEAR(Birthday_5)+1,MONTH(Birthday_5),DAY(Birthday_5))-1),Leaving_Date,DATE(YEAR(Birthday_5)+1,MONTH(Birthday_5),DAY(Birthday_5))-1))</f>
        <v/>
      </c>
      <c r="D6" s="18" t="str">
        <f ca="1">IF(Leave_Year_Start_5="","",TEXT(Leave_Year_Start_5,"dd/mm/yyyy")&amp;" - "&amp;TEXT(Leave_Year_End_5,"dd/mm/yyyy"))</f>
        <v/>
      </c>
      <c r="E6" s="16" t="str">
        <f ca="1">IF(Birthday_5="","",Birthday_5+(F6-1))</f>
        <v/>
      </c>
      <c r="F6" s="18" t="str">
        <f ca="1">IF(Birthday_5="","",(DATE(YEAR(Birthday_5)+1,MONTH(Birthday_5),DAY(Birthday_5))-1)-Birthday_5+1)</f>
        <v/>
      </c>
      <c r="G6" s="18" t="str">
        <f ca="1">IF(Birthday_5="","",Leave_Year_End_5-Leave_Year_Start_5+1)</f>
        <v/>
      </c>
      <c r="H6" s="18" t="str">
        <f ca="1">IF(Birthday_5="","",IF(DATEDIF(IF(Reckonable_Service_Date="",Start_Date,Reckonable_Service_Date),Leave_Year_Start_5,"Y")&gt;3,4,DATEDIF(IF(Reckonable_Service_Date="",Start_Date,Reckonable_Service_Date),Leave_Year_Start_5,"Y")))</f>
        <v/>
      </c>
      <c r="I6" s="18" t="str">
        <f ca="1">IF(Birthday_5="","",IF(DATEDIF(IF(Reckonable_Service_Date="",Start_Date,Reckonable_Service_Date),Leave_Year_End_5,"Y")&gt;3,4,DATEDIF(IF(Reckonable_Service_Date="",Start_Date,Reckonable_Service_Date),Leave_Year_End_5,"Y")))</f>
        <v/>
      </c>
      <c r="J6" s="18">
        <f>IF(Calculator!$C$11="YES",Calculator!$C$12,IF(Calculator!$C$11="",52.143,IF(Calculator!$C$11="No",52.143)))</f>
        <v>52.143000000000001</v>
      </c>
      <c r="K6" s="29" t="str">
        <f ca="1">IF(I6&gt;H6,DATE(YEAR(IF(Reckonable_Service_Date="",Start_Date,Reckonable_Service_Date))+I6,MONTH(IF(Reckonable_Service_Date="",Start_Date,Reckonable_Service_Date)),DAY(IF(Reckonable_Service_Date="",Start_Date,Reckonable_Service_Date))),"")</f>
        <v/>
      </c>
      <c r="L6" s="18" t="str">
        <f ca="1">IF(K6&lt;&gt;"",((K6-Birthday_5)/G6)*VLOOKUP(H6,'Entitlement Table'!$A:$B,2,0),"")</f>
        <v/>
      </c>
      <c r="M6" s="17" t="str">
        <f ca="1">IF(K6&lt;&gt;"",((Leave_Year_End_5-K6+1)/G6)*VLOOKUP(I6,'Entitlement Table'!$A:$B,2,0),"")</f>
        <v/>
      </c>
      <c r="N6" s="18" t="str">
        <f ca="1">IF(Birthday_5="","",IF(K6="",VLOOKUP(H6,'Entitlement Table'!A:B,2,0),(L6+M6)))</f>
        <v/>
      </c>
      <c r="O6" s="24" t="str">
        <f ca="1">IF(Birthday_5="","",IF(G6&lt;=0,"",MROUND((Calculator!$C$5/37)*(N6*7.4)*(G6/F6),0.5)))</f>
        <v/>
      </c>
      <c r="P6" s="18" t="str">
        <f ca="1">IF(Birthday_5="","",COUNTIF('Public Holidays'!A:A,"&gt;="&amp;Birthday_5)-COUNTIF('Public Holidays'!A:A,"&gt;"&amp;E6))</f>
        <v/>
      </c>
      <c r="Q6" s="18" t="str">
        <f ca="1">IF(Birthday_5="","",IF(G6&lt;=0,"",(Calculator!$C$5/37)*(P6*7.4)*(G6/F6)))</f>
        <v/>
      </c>
      <c r="R6" s="17" t="e">
        <f t="shared" ca="1" si="3"/>
        <v>#VALUE!</v>
      </c>
      <c r="S6" s="17" t="e">
        <f t="shared" ca="1" si="4"/>
        <v>#VALUE!</v>
      </c>
      <c r="T6" s="18" t="str">
        <f ca="1">IF(Birthday_5="","",COUNTIF('Public Holidays'!A:A,"&gt;="&amp;Birthday_5)-COUNTIF('Public Holidays'!A:A,"&gt;"&amp;C6))</f>
        <v/>
      </c>
      <c r="U6" s="17" t="e">
        <f t="shared" ca="1" si="5"/>
        <v>#VALUE!</v>
      </c>
      <c r="V6" s="54" t="e">
        <f t="shared" ca="1" si="6"/>
        <v>#VALUE!</v>
      </c>
      <c r="W6" s="54" t="e">
        <f t="shared" ca="1" si="7"/>
        <v>#VALUE!</v>
      </c>
      <c r="X6" s="17" t="e">
        <f t="shared" ca="1" si="8"/>
        <v>#VALUE!</v>
      </c>
      <c r="Y6" s="17" t="e">
        <f ca="1">5.6*(G6/F6)</f>
        <v>#VALUE!</v>
      </c>
      <c r="Z6" s="17" t="e">
        <f ca="1">IF(X6&gt;Y6,X6,Y6)</f>
        <v>#VALUE!</v>
      </c>
      <c r="AA6" s="17" t="e">
        <f ca="1">(Z6*5)*7.24</f>
        <v>#VALUE!</v>
      </c>
      <c r="AB6" s="17" t="e">
        <f t="shared" ca="1" si="9"/>
        <v>#VALUE!</v>
      </c>
    </row>
    <row r="9" spans="1:28" x14ac:dyDescent="0.2">
      <c r="E9" s="18" t="s">
        <v>80</v>
      </c>
    </row>
    <row r="10" spans="1:28" ht="81" thickBot="1" x14ac:dyDescent="0.25">
      <c r="E10" s="38" t="s">
        <v>39</v>
      </c>
      <c r="F10" s="39" t="s">
        <v>40</v>
      </c>
      <c r="G10" s="39" t="s">
        <v>41</v>
      </c>
      <c r="H10" s="39" t="s">
        <v>42</v>
      </c>
      <c r="I10" s="40" t="s">
        <v>43</v>
      </c>
      <c r="J10" s="40" t="s">
        <v>44</v>
      </c>
      <c r="K10" s="40" t="s">
        <v>45</v>
      </c>
      <c r="L10" s="41" t="s">
        <v>46</v>
      </c>
      <c r="M10" s="41" t="s">
        <v>47</v>
      </c>
      <c r="N10" s="41" t="s">
        <v>48</v>
      </c>
      <c r="O10" s="42" t="s">
        <v>49</v>
      </c>
      <c r="P10" s="42" t="s">
        <v>50</v>
      </c>
      <c r="Q10" s="42" t="s">
        <v>51</v>
      </c>
      <c r="R10" s="43" t="s">
        <v>52</v>
      </c>
      <c r="S10" s="43"/>
      <c r="T10" s="43" t="s">
        <v>53</v>
      </c>
      <c r="U10" s="43" t="s">
        <v>54</v>
      </c>
    </row>
    <row r="11" spans="1:28" ht="12" thickBot="1" x14ac:dyDescent="0.25">
      <c r="E11" s="44">
        <v>1</v>
      </c>
      <c r="F11" s="45">
        <v>32</v>
      </c>
      <c r="G11" s="45">
        <v>6.4</v>
      </c>
      <c r="H11" s="46">
        <v>45.743000000000002</v>
      </c>
      <c r="I11" s="47">
        <v>26.582999999999998</v>
      </c>
      <c r="J11" s="47">
        <v>5.6</v>
      </c>
      <c r="K11" s="47">
        <v>43.317</v>
      </c>
      <c r="L11" s="48">
        <v>27.283000000000001</v>
      </c>
      <c r="M11" s="48">
        <v>5.6</v>
      </c>
      <c r="N11" s="48">
        <v>44.457000000000001</v>
      </c>
      <c r="O11" s="49">
        <v>27.981999999999999</v>
      </c>
      <c r="P11" s="49">
        <v>5.6</v>
      </c>
      <c r="Q11" s="49">
        <v>45.595999999999997</v>
      </c>
      <c r="R11" s="50">
        <v>28.681999999999999</v>
      </c>
      <c r="S11" s="50"/>
      <c r="T11" s="50">
        <v>5.7363999999999997</v>
      </c>
      <c r="U11" s="50">
        <v>46.735999999999997</v>
      </c>
    </row>
    <row r="12" spans="1:28" ht="12" thickBot="1" x14ac:dyDescent="0.25">
      <c r="E12" s="44">
        <v>2</v>
      </c>
      <c r="F12" s="45">
        <v>33</v>
      </c>
      <c r="G12" s="45">
        <v>6.6</v>
      </c>
      <c r="H12" s="45">
        <v>45.542999999999999</v>
      </c>
      <c r="I12" s="47">
        <v>27.533999999999999</v>
      </c>
      <c r="J12" s="47">
        <v>5.6</v>
      </c>
      <c r="K12" s="47">
        <v>43.506999999999998</v>
      </c>
      <c r="L12" s="48">
        <v>28.259</v>
      </c>
      <c r="M12" s="48">
        <v>5.6517999999999997</v>
      </c>
      <c r="N12" s="48">
        <v>44.652000000000001</v>
      </c>
      <c r="O12" s="49">
        <v>28.984000000000002</v>
      </c>
      <c r="P12" s="49">
        <v>5.7968000000000002</v>
      </c>
      <c r="Q12" s="49">
        <v>45.796999999999997</v>
      </c>
      <c r="R12" s="50">
        <v>29.707999999999998</v>
      </c>
      <c r="S12" s="50"/>
      <c r="T12" s="50">
        <v>5.9416000000000002</v>
      </c>
      <c r="U12" s="50">
        <v>46.942</v>
      </c>
    </row>
    <row r="13" spans="1:28" ht="12" thickBot="1" x14ac:dyDescent="0.25">
      <c r="E13" s="44">
        <v>3</v>
      </c>
      <c r="F13" s="45">
        <v>35</v>
      </c>
      <c r="G13" s="45">
        <v>7</v>
      </c>
      <c r="H13" s="45">
        <v>45.143000000000001</v>
      </c>
      <c r="I13" s="47">
        <v>29.462</v>
      </c>
      <c r="J13" s="47">
        <v>5.8924000000000003</v>
      </c>
      <c r="K13" s="47">
        <v>43.892000000000003</v>
      </c>
      <c r="L13" s="48">
        <v>30.236999999999998</v>
      </c>
      <c r="M13" s="48">
        <v>6.0473999999999997</v>
      </c>
      <c r="N13" s="48">
        <v>45.046999999999997</v>
      </c>
      <c r="O13" s="49">
        <v>31.013000000000002</v>
      </c>
      <c r="P13" s="49">
        <v>6.2026000000000003</v>
      </c>
      <c r="Q13" s="49">
        <v>46.203000000000003</v>
      </c>
      <c r="R13" s="50">
        <v>31.788</v>
      </c>
      <c r="S13" s="50"/>
      <c r="T13" s="50">
        <v>6.3575999999999997</v>
      </c>
      <c r="U13" s="50">
        <v>47.357999999999997</v>
      </c>
    </row>
    <row r="14" spans="1:28" ht="12" thickBot="1" x14ac:dyDescent="0.25">
      <c r="E14" s="44">
        <v>4</v>
      </c>
      <c r="F14" s="45">
        <v>37</v>
      </c>
      <c r="G14" s="45">
        <v>7.4</v>
      </c>
      <c r="H14" s="45">
        <v>44.743000000000002</v>
      </c>
      <c r="I14" s="47">
        <v>31.423999999999999</v>
      </c>
      <c r="J14" s="47">
        <v>6.2847999999999997</v>
      </c>
      <c r="K14" s="47">
        <v>44.284999999999997</v>
      </c>
      <c r="L14" s="48">
        <v>32.250999999999998</v>
      </c>
      <c r="M14" s="48">
        <v>6.4501999999999997</v>
      </c>
      <c r="N14" s="48">
        <v>45.45</v>
      </c>
      <c r="O14" s="49">
        <v>33.078000000000003</v>
      </c>
      <c r="P14" s="49">
        <v>6.6155999999999997</v>
      </c>
      <c r="Q14" s="49">
        <v>46.616</v>
      </c>
      <c r="R14" s="50">
        <v>33.905000000000001</v>
      </c>
      <c r="S14" s="50"/>
      <c r="T14" s="50">
        <v>6.7809999999999997</v>
      </c>
      <c r="U14" s="50">
        <v>47.780999999999999</v>
      </c>
    </row>
    <row r="15" spans="1:28" ht="12" thickBot="1" x14ac:dyDescent="0.25">
      <c r="E15" s="44">
        <v>5</v>
      </c>
      <c r="F15" s="45">
        <v>38</v>
      </c>
      <c r="G15" s="45">
        <v>7.6</v>
      </c>
      <c r="H15" s="46">
        <v>44.542999999999999</v>
      </c>
      <c r="I15" s="51">
        <v>32.417999999999999</v>
      </c>
      <c r="J15" s="51">
        <v>6.4836</v>
      </c>
      <c r="K15" s="51">
        <v>44.484000000000002</v>
      </c>
      <c r="L15" s="48">
        <v>33.271000000000001</v>
      </c>
      <c r="M15" s="48">
        <v>6.6542000000000003</v>
      </c>
      <c r="N15" s="48">
        <v>45.654000000000003</v>
      </c>
      <c r="O15" s="49">
        <v>34.124000000000002</v>
      </c>
      <c r="P15" s="49">
        <v>6.8247999999999998</v>
      </c>
      <c r="Q15" s="49">
        <v>46.825000000000003</v>
      </c>
      <c r="R15" s="50">
        <v>34.976999999999997</v>
      </c>
      <c r="S15" s="50"/>
      <c r="T15" s="50">
        <v>6.9954000000000001</v>
      </c>
      <c r="U15" s="50">
        <v>47.994999999999997</v>
      </c>
    </row>
    <row r="16" spans="1:28" ht="12.5" x14ac:dyDescent="0.25"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5:21" ht="12.5" x14ac:dyDescent="0.25">
      <c r="E17"/>
      <c r="F17" t="s">
        <v>55</v>
      </c>
      <c r="G17" s="52">
        <v>52.143000000000001</v>
      </c>
      <c r="H17">
        <f>((G17*5)-24-8)/5</f>
        <v>45.743000000000009</v>
      </c>
      <c r="I17"/>
      <c r="J17" t="s">
        <v>56</v>
      </c>
      <c r="K17" s="53">
        <f>(38/H15*30)/5</f>
        <v>5.1186493949666616</v>
      </c>
      <c r="L17" t="s">
        <v>57</v>
      </c>
      <c r="M17"/>
      <c r="N17"/>
      <c r="O17"/>
      <c r="P17"/>
      <c r="Q17"/>
      <c r="R17"/>
      <c r="S17"/>
      <c r="T17"/>
      <c r="U17"/>
    </row>
    <row r="18" spans="5:21" ht="12.5" x14ac:dyDescent="0.25">
      <c r="E18"/>
      <c r="F18"/>
      <c r="G18"/>
      <c r="H18"/>
      <c r="I18"/>
      <c r="J18" t="s">
        <v>58</v>
      </c>
      <c r="K18" s="53">
        <f>(38/H15*8)/5</f>
        <v>1.3649731719911098</v>
      </c>
      <c r="L18" t="s">
        <v>59</v>
      </c>
      <c r="M18"/>
      <c r="N18"/>
      <c r="O18"/>
      <c r="P18"/>
      <c r="Q18"/>
      <c r="R18"/>
      <c r="S18"/>
      <c r="T18"/>
      <c r="U18"/>
    </row>
    <row r="19" spans="5:21" ht="12.5" x14ac:dyDescent="0.25">
      <c r="E19"/>
      <c r="F19"/>
      <c r="G19"/>
      <c r="H19">
        <f>((52.143*7)-24-8)/7</f>
        <v>47.571571428571424</v>
      </c>
      <c r="I19"/>
      <c r="J19" t="s">
        <v>60</v>
      </c>
      <c r="K19" s="53">
        <f>SUM(K17:K18)</f>
        <v>6.4836225669577718</v>
      </c>
      <c r="L19"/>
      <c r="M19"/>
      <c r="N19"/>
      <c r="O19"/>
      <c r="P19"/>
      <c r="Q19"/>
      <c r="R19"/>
      <c r="S19"/>
      <c r="T19"/>
      <c r="U19"/>
    </row>
    <row r="20" spans="5:21" ht="12.5" x14ac:dyDescent="0.25">
      <c r="E20"/>
      <c r="F20"/>
      <c r="G20"/>
      <c r="H20"/>
      <c r="I20"/>
      <c r="J20"/>
      <c r="K20"/>
      <c r="L20"/>
      <c r="M20"/>
      <c r="N20" t="s">
        <v>81</v>
      </c>
      <c r="O20"/>
      <c r="P20"/>
      <c r="Q20"/>
      <c r="R20"/>
      <c r="S20"/>
      <c r="T20"/>
      <c r="U20"/>
    </row>
    <row r="21" spans="5:21" ht="12.5" x14ac:dyDescent="0.25">
      <c r="E21"/>
      <c r="F21"/>
      <c r="G21"/>
      <c r="H21"/>
      <c r="I21"/>
      <c r="J21" t="s">
        <v>61</v>
      </c>
      <c r="K21">
        <f>(38/H15*24)/5</f>
        <v>4.0949195159733289</v>
      </c>
      <c r="L21"/>
      <c r="M21"/>
      <c r="N21"/>
      <c r="O21"/>
      <c r="P21"/>
      <c r="Q21"/>
      <c r="R21"/>
      <c r="S21"/>
      <c r="T21"/>
      <c r="U21"/>
    </row>
    <row r="22" spans="5:21" ht="12.5" x14ac:dyDescent="0.25">
      <c r="E22"/>
      <c r="F22"/>
      <c r="G22"/>
      <c r="H22"/>
      <c r="I22"/>
      <c r="J22" t="s">
        <v>62</v>
      </c>
      <c r="K22">
        <f>(38/H15*8)/5</f>
        <v>1.3649731719911098</v>
      </c>
      <c r="L22"/>
      <c r="M22"/>
      <c r="N22"/>
      <c r="O22"/>
      <c r="P22"/>
      <c r="Q22"/>
      <c r="R22"/>
      <c r="S22"/>
      <c r="T22"/>
      <c r="U22"/>
    </row>
    <row r="23" spans="5:21" ht="12.5" x14ac:dyDescent="0.25">
      <c r="E23"/>
      <c r="F23"/>
      <c r="G23"/>
      <c r="H23"/>
      <c r="I23"/>
      <c r="J23"/>
      <c r="K23">
        <f>SUM(K21:K22)</f>
        <v>5.4598926879644392</v>
      </c>
      <c r="L23"/>
      <c r="M23"/>
      <c r="N23"/>
      <c r="O23"/>
      <c r="P23"/>
      <c r="Q23"/>
      <c r="R23"/>
      <c r="S23"/>
      <c r="T23"/>
      <c r="U23"/>
    </row>
    <row r="24" spans="5:21" ht="12.5" x14ac:dyDescent="0.25">
      <c r="E24"/>
      <c r="F24"/>
      <c r="G24"/>
      <c r="H24"/>
      <c r="I24"/>
      <c r="J24"/>
      <c r="K24" t="s">
        <v>63</v>
      </c>
      <c r="L24"/>
      <c r="M24"/>
      <c r="N24"/>
      <c r="O24"/>
      <c r="P24"/>
      <c r="Q24"/>
      <c r="R24"/>
      <c r="S24"/>
      <c r="T24"/>
      <c r="U24"/>
    </row>
    <row r="25" spans="5:21" ht="12.5" x14ac:dyDescent="0.25">
      <c r="E25"/>
      <c r="F25"/>
      <c r="G25"/>
      <c r="H25"/>
      <c r="I25"/>
      <c r="J25"/>
      <c r="K25" t="s">
        <v>64</v>
      </c>
      <c r="L25"/>
      <c r="M25"/>
      <c r="N25"/>
      <c r="O25"/>
      <c r="P25"/>
      <c r="Q25"/>
      <c r="R25"/>
      <c r="S25"/>
      <c r="T25"/>
      <c r="U25"/>
    </row>
    <row r="26" spans="5:21" ht="12.5" x14ac:dyDescent="0.25"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34"/>
  <sheetViews>
    <sheetView workbookViewId="0">
      <pane ySplit="1" topLeftCell="A113" activePane="bottomLeft" state="frozen"/>
      <selection pane="bottomLeft" activeCell="A135" sqref="A135"/>
    </sheetView>
  </sheetViews>
  <sheetFormatPr defaultColWidth="15.7265625" defaultRowHeight="10" x14ac:dyDescent="0.2"/>
  <cols>
    <col min="1" max="1" width="15.7265625" style="23"/>
    <col min="2" max="16384" width="15.7265625" style="17"/>
  </cols>
  <sheetData>
    <row r="1" spans="1:1" s="20" customFormat="1" x14ac:dyDescent="0.25">
      <c r="A1" s="22" t="s">
        <v>22</v>
      </c>
    </row>
    <row r="2" spans="1:1" x14ac:dyDescent="0.2">
      <c r="A2" s="23">
        <v>40546</v>
      </c>
    </row>
    <row r="3" spans="1:1" x14ac:dyDescent="0.2">
      <c r="A3" s="23">
        <v>40655</v>
      </c>
    </row>
    <row r="4" spans="1:1" x14ac:dyDescent="0.2">
      <c r="A4" s="23">
        <v>40658</v>
      </c>
    </row>
    <row r="5" spans="1:1" x14ac:dyDescent="0.2">
      <c r="A5" s="23">
        <v>40662</v>
      </c>
    </row>
    <row r="6" spans="1:1" x14ac:dyDescent="0.2">
      <c r="A6" s="23">
        <v>40665</v>
      </c>
    </row>
    <row r="7" spans="1:1" x14ac:dyDescent="0.2">
      <c r="A7" s="23">
        <v>40683</v>
      </c>
    </row>
    <row r="8" spans="1:1" x14ac:dyDescent="0.2">
      <c r="A8" s="23">
        <v>40784</v>
      </c>
    </row>
    <row r="9" spans="1:1" x14ac:dyDescent="0.2">
      <c r="A9" s="23">
        <v>40903</v>
      </c>
    </row>
    <row r="10" spans="1:1" x14ac:dyDescent="0.2">
      <c r="A10" s="23">
        <v>40904</v>
      </c>
    </row>
    <row r="11" spans="1:1" x14ac:dyDescent="0.2">
      <c r="A11" s="23">
        <v>40910</v>
      </c>
    </row>
    <row r="12" spans="1:1" x14ac:dyDescent="0.2">
      <c r="A12" s="23">
        <v>41005</v>
      </c>
    </row>
    <row r="13" spans="1:1" x14ac:dyDescent="0.2">
      <c r="A13" s="23">
        <v>41008</v>
      </c>
    </row>
    <row r="14" spans="1:1" x14ac:dyDescent="0.2">
      <c r="A14" s="23">
        <v>41036</v>
      </c>
    </row>
    <row r="15" spans="1:1" x14ac:dyDescent="0.2">
      <c r="A15" s="23">
        <v>41064</v>
      </c>
    </row>
    <row r="16" spans="1:1" x14ac:dyDescent="0.2">
      <c r="A16" s="23">
        <v>41065</v>
      </c>
    </row>
    <row r="17" spans="1:1" x14ac:dyDescent="0.2">
      <c r="A17" s="23">
        <v>41148</v>
      </c>
    </row>
    <row r="18" spans="1:1" x14ac:dyDescent="0.2">
      <c r="A18" s="23">
        <v>41268</v>
      </c>
    </row>
    <row r="19" spans="1:1" x14ac:dyDescent="0.2">
      <c r="A19" s="23">
        <v>41269</v>
      </c>
    </row>
    <row r="20" spans="1:1" x14ac:dyDescent="0.2">
      <c r="A20" s="23">
        <v>41275</v>
      </c>
    </row>
    <row r="21" spans="1:1" x14ac:dyDescent="0.2">
      <c r="A21" s="23">
        <v>41362</v>
      </c>
    </row>
    <row r="22" spans="1:1" x14ac:dyDescent="0.2">
      <c r="A22" s="23">
        <v>41365</v>
      </c>
    </row>
    <row r="23" spans="1:1" x14ac:dyDescent="0.2">
      <c r="A23" s="23">
        <v>41400</v>
      </c>
    </row>
    <row r="24" spans="1:1" x14ac:dyDescent="0.2">
      <c r="A24" s="23">
        <v>41421</v>
      </c>
    </row>
    <row r="25" spans="1:1" x14ac:dyDescent="0.2">
      <c r="A25" s="23">
        <v>41512</v>
      </c>
    </row>
    <row r="26" spans="1:1" x14ac:dyDescent="0.2">
      <c r="A26" s="23">
        <v>41633</v>
      </c>
    </row>
    <row r="27" spans="1:1" x14ac:dyDescent="0.2">
      <c r="A27" s="23">
        <v>41634</v>
      </c>
    </row>
    <row r="28" spans="1:1" x14ac:dyDescent="0.2">
      <c r="A28" s="23">
        <v>41640</v>
      </c>
    </row>
    <row r="29" spans="1:1" x14ac:dyDescent="0.2">
      <c r="A29" s="23">
        <v>41747</v>
      </c>
    </row>
    <row r="30" spans="1:1" x14ac:dyDescent="0.2">
      <c r="A30" s="23">
        <v>41750</v>
      </c>
    </row>
    <row r="31" spans="1:1" x14ac:dyDescent="0.2">
      <c r="A31" s="23">
        <v>41764</v>
      </c>
    </row>
    <row r="32" spans="1:1" x14ac:dyDescent="0.2">
      <c r="A32" s="23">
        <v>41785</v>
      </c>
    </row>
    <row r="33" spans="1:1" x14ac:dyDescent="0.2">
      <c r="A33" s="23">
        <v>41876</v>
      </c>
    </row>
    <row r="34" spans="1:1" x14ac:dyDescent="0.2">
      <c r="A34" s="23">
        <v>41998</v>
      </c>
    </row>
    <row r="35" spans="1:1" x14ac:dyDescent="0.2">
      <c r="A35" s="23">
        <v>41999</v>
      </c>
    </row>
    <row r="36" spans="1:1" x14ac:dyDescent="0.2">
      <c r="A36" s="23">
        <v>42005</v>
      </c>
    </row>
    <row r="37" spans="1:1" x14ac:dyDescent="0.2">
      <c r="A37" s="23">
        <v>42097</v>
      </c>
    </row>
    <row r="38" spans="1:1" x14ac:dyDescent="0.2">
      <c r="A38" s="23">
        <v>42100</v>
      </c>
    </row>
    <row r="39" spans="1:1" x14ac:dyDescent="0.2">
      <c r="A39" s="23">
        <v>42128</v>
      </c>
    </row>
    <row r="40" spans="1:1" x14ac:dyDescent="0.2">
      <c r="A40" s="23">
        <v>42149</v>
      </c>
    </row>
    <row r="41" spans="1:1" x14ac:dyDescent="0.2">
      <c r="A41" s="23">
        <v>42247</v>
      </c>
    </row>
    <row r="42" spans="1:1" x14ac:dyDescent="0.2">
      <c r="A42" s="23">
        <v>42363</v>
      </c>
    </row>
    <row r="43" spans="1:1" x14ac:dyDescent="0.2">
      <c r="A43" s="23">
        <v>42366</v>
      </c>
    </row>
    <row r="44" spans="1:1" x14ac:dyDescent="0.2">
      <c r="A44" s="23">
        <v>42370</v>
      </c>
    </row>
    <row r="45" spans="1:1" x14ac:dyDescent="0.2">
      <c r="A45" s="23">
        <v>42454</v>
      </c>
    </row>
    <row r="46" spans="1:1" x14ac:dyDescent="0.2">
      <c r="A46" s="23">
        <v>42457</v>
      </c>
    </row>
    <row r="47" spans="1:1" x14ac:dyDescent="0.2">
      <c r="A47" s="23">
        <v>42492</v>
      </c>
    </row>
    <row r="48" spans="1:1" x14ac:dyDescent="0.2">
      <c r="A48" s="23">
        <v>42518</v>
      </c>
    </row>
    <row r="49" spans="1:1" x14ac:dyDescent="0.2">
      <c r="A49" s="23">
        <v>42611</v>
      </c>
    </row>
    <row r="50" spans="1:1" x14ac:dyDescent="0.2">
      <c r="A50" s="23">
        <v>42730</v>
      </c>
    </row>
    <row r="51" spans="1:1" x14ac:dyDescent="0.2">
      <c r="A51" s="23">
        <v>42731</v>
      </c>
    </row>
    <row r="52" spans="1:1" x14ac:dyDescent="0.2">
      <c r="A52" s="23">
        <v>42737</v>
      </c>
    </row>
    <row r="53" spans="1:1" x14ac:dyDescent="0.2">
      <c r="A53" s="23">
        <v>42839</v>
      </c>
    </row>
    <row r="54" spans="1:1" x14ac:dyDescent="0.2">
      <c r="A54" s="23">
        <v>42842</v>
      </c>
    </row>
    <row r="55" spans="1:1" x14ac:dyDescent="0.2">
      <c r="A55" s="23">
        <v>42856</v>
      </c>
    </row>
    <row r="56" spans="1:1" x14ac:dyDescent="0.2">
      <c r="A56" s="23">
        <v>42884</v>
      </c>
    </row>
    <row r="57" spans="1:1" x14ac:dyDescent="0.2">
      <c r="A57" s="23">
        <v>42975</v>
      </c>
    </row>
    <row r="58" spans="1:1" x14ac:dyDescent="0.2">
      <c r="A58" s="23">
        <v>43094</v>
      </c>
    </row>
    <row r="59" spans="1:1" x14ac:dyDescent="0.2">
      <c r="A59" s="23">
        <v>43095</v>
      </c>
    </row>
    <row r="60" spans="1:1" x14ac:dyDescent="0.2">
      <c r="A60" s="23">
        <v>43101</v>
      </c>
    </row>
    <row r="61" spans="1:1" x14ac:dyDescent="0.2">
      <c r="A61" s="23">
        <v>43189</v>
      </c>
    </row>
    <row r="62" spans="1:1" x14ac:dyDescent="0.2">
      <c r="A62" s="23">
        <v>43192</v>
      </c>
    </row>
    <row r="63" spans="1:1" x14ac:dyDescent="0.2">
      <c r="A63" s="23">
        <v>43227</v>
      </c>
    </row>
    <row r="64" spans="1:1" x14ac:dyDescent="0.2">
      <c r="A64" s="23">
        <v>43248</v>
      </c>
    </row>
    <row r="65" spans="1:1" x14ac:dyDescent="0.2">
      <c r="A65" s="23">
        <v>43339</v>
      </c>
    </row>
    <row r="66" spans="1:1" x14ac:dyDescent="0.2">
      <c r="A66" s="23">
        <v>43459</v>
      </c>
    </row>
    <row r="67" spans="1:1" x14ac:dyDescent="0.2">
      <c r="A67" s="23">
        <v>43460</v>
      </c>
    </row>
    <row r="68" spans="1:1" x14ac:dyDescent="0.2">
      <c r="A68" s="23">
        <v>43466</v>
      </c>
    </row>
    <row r="69" spans="1:1" x14ac:dyDescent="0.2">
      <c r="A69" s="23">
        <v>43574</v>
      </c>
    </row>
    <row r="70" spans="1:1" x14ac:dyDescent="0.2">
      <c r="A70" s="23">
        <v>43577</v>
      </c>
    </row>
    <row r="71" spans="1:1" x14ac:dyDescent="0.2">
      <c r="A71" s="23">
        <v>43591</v>
      </c>
    </row>
    <row r="72" spans="1:1" x14ac:dyDescent="0.2">
      <c r="A72" s="23">
        <v>43612</v>
      </c>
    </row>
    <row r="73" spans="1:1" x14ac:dyDescent="0.2">
      <c r="A73" s="23">
        <v>43703</v>
      </c>
    </row>
    <row r="74" spans="1:1" x14ac:dyDescent="0.2">
      <c r="A74" s="23">
        <v>43824</v>
      </c>
    </row>
    <row r="75" spans="1:1" x14ac:dyDescent="0.2">
      <c r="A75" s="23">
        <v>43825</v>
      </c>
    </row>
    <row r="76" spans="1:1" x14ac:dyDescent="0.2">
      <c r="A76" s="23">
        <v>43832</v>
      </c>
    </row>
    <row r="77" spans="1:1" x14ac:dyDescent="0.2">
      <c r="A77" s="23">
        <v>43931</v>
      </c>
    </row>
    <row r="78" spans="1:1" x14ac:dyDescent="0.2">
      <c r="A78" s="23">
        <v>43934</v>
      </c>
    </row>
    <row r="79" spans="1:1" x14ac:dyDescent="0.2">
      <c r="A79" s="23">
        <v>43959</v>
      </c>
    </row>
    <row r="80" spans="1:1" x14ac:dyDescent="0.2">
      <c r="A80" s="23">
        <v>43976</v>
      </c>
    </row>
    <row r="81" spans="1:1" x14ac:dyDescent="0.2">
      <c r="A81" s="23">
        <v>44074</v>
      </c>
    </row>
    <row r="82" spans="1:1" x14ac:dyDescent="0.2">
      <c r="A82" s="23">
        <v>44190</v>
      </c>
    </row>
    <row r="83" spans="1:1" x14ac:dyDescent="0.2">
      <c r="A83" s="23">
        <v>44193</v>
      </c>
    </row>
    <row r="84" spans="1:1" x14ac:dyDescent="0.2">
      <c r="A84" s="23">
        <v>44197</v>
      </c>
    </row>
    <row r="85" spans="1:1" x14ac:dyDescent="0.2">
      <c r="A85" s="23">
        <v>44288</v>
      </c>
    </row>
    <row r="86" spans="1:1" x14ac:dyDescent="0.2">
      <c r="A86" s="23">
        <v>44291</v>
      </c>
    </row>
    <row r="87" spans="1:1" x14ac:dyDescent="0.2">
      <c r="A87" s="23">
        <v>44319</v>
      </c>
    </row>
    <row r="88" spans="1:1" x14ac:dyDescent="0.2">
      <c r="A88" s="23">
        <v>44347</v>
      </c>
    </row>
    <row r="89" spans="1:1" x14ac:dyDescent="0.2">
      <c r="A89" s="23">
        <v>44438</v>
      </c>
    </row>
    <row r="90" spans="1:1" x14ac:dyDescent="0.2">
      <c r="A90" s="23">
        <v>44557</v>
      </c>
    </row>
    <row r="91" spans="1:1" x14ac:dyDescent="0.2">
      <c r="A91" s="23">
        <v>44558</v>
      </c>
    </row>
    <row r="92" spans="1:1" x14ac:dyDescent="0.2">
      <c r="A92" s="23">
        <v>44564</v>
      </c>
    </row>
    <row r="93" spans="1:1" x14ac:dyDescent="0.2">
      <c r="A93" s="23">
        <v>44666</v>
      </c>
    </row>
    <row r="94" spans="1:1" x14ac:dyDescent="0.2">
      <c r="A94" s="23">
        <v>44669</v>
      </c>
    </row>
    <row r="95" spans="1:1" x14ac:dyDescent="0.2">
      <c r="A95" s="23">
        <v>44683</v>
      </c>
    </row>
    <row r="96" spans="1:1" x14ac:dyDescent="0.2">
      <c r="A96" s="23">
        <v>44714</v>
      </c>
    </row>
    <row r="97" spans="1:2" x14ac:dyDescent="0.2">
      <c r="A97" s="23">
        <v>44715</v>
      </c>
    </row>
    <row r="98" spans="1:2" x14ac:dyDescent="0.2">
      <c r="A98" s="23">
        <v>44802</v>
      </c>
    </row>
    <row r="99" spans="1:2" x14ac:dyDescent="0.2">
      <c r="A99" s="23">
        <v>44823</v>
      </c>
      <c r="B99" s="17" t="s">
        <v>72</v>
      </c>
    </row>
    <row r="100" spans="1:2" x14ac:dyDescent="0.2">
      <c r="A100" s="23">
        <v>44921</v>
      </c>
    </row>
    <row r="101" spans="1:2" x14ac:dyDescent="0.2">
      <c r="A101" s="23">
        <v>44922</v>
      </c>
    </row>
    <row r="102" spans="1:2" x14ac:dyDescent="0.2">
      <c r="A102" s="23">
        <v>44928</v>
      </c>
    </row>
    <row r="103" spans="1:2" x14ac:dyDescent="0.2">
      <c r="A103" s="23">
        <v>45023</v>
      </c>
    </row>
    <row r="104" spans="1:2" x14ac:dyDescent="0.2">
      <c r="A104" s="23">
        <v>45026</v>
      </c>
    </row>
    <row r="105" spans="1:2" x14ac:dyDescent="0.2">
      <c r="A105" s="23">
        <v>45047</v>
      </c>
    </row>
    <row r="106" spans="1:2" x14ac:dyDescent="0.2">
      <c r="A106" s="23">
        <v>45054</v>
      </c>
      <c r="B106" s="17" t="s">
        <v>73</v>
      </c>
    </row>
    <row r="107" spans="1:2" x14ac:dyDescent="0.2">
      <c r="A107" s="23">
        <v>45075</v>
      </c>
    </row>
    <row r="108" spans="1:2" x14ac:dyDescent="0.2">
      <c r="A108" s="23">
        <v>45166</v>
      </c>
    </row>
    <row r="109" spans="1:2" x14ac:dyDescent="0.2">
      <c r="A109" s="23">
        <v>45285</v>
      </c>
    </row>
    <row r="110" spans="1:2" x14ac:dyDescent="0.2">
      <c r="A110" s="23">
        <v>45286</v>
      </c>
    </row>
    <row r="111" spans="1:2" x14ac:dyDescent="0.2">
      <c r="A111" s="23">
        <v>45292</v>
      </c>
    </row>
    <row r="112" spans="1:2" x14ac:dyDescent="0.2">
      <c r="A112" s="23">
        <v>45380</v>
      </c>
    </row>
    <row r="113" spans="1:1" x14ac:dyDescent="0.2">
      <c r="A113" s="23">
        <v>45383</v>
      </c>
    </row>
    <row r="114" spans="1:1" x14ac:dyDescent="0.2">
      <c r="A114" s="23">
        <v>45418</v>
      </c>
    </row>
    <row r="115" spans="1:1" x14ac:dyDescent="0.2">
      <c r="A115" s="23">
        <v>45439</v>
      </c>
    </row>
    <row r="116" spans="1:1" x14ac:dyDescent="0.2">
      <c r="A116" s="23">
        <v>45530</v>
      </c>
    </row>
    <row r="117" spans="1:1" x14ac:dyDescent="0.2">
      <c r="A117" s="23">
        <v>45651</v>
      </c>
    </row>
    <row r="118" spans="1:1" x14ac:dyDescent="0.2">
      <c r="A118" s="23">
        <v>45652</v>
      </c>
    </row>
    <row r="119" spans="1:1" x14ac:dyDescent="0.2">
      <c r="A119" s="23">
        <v>45658</v>
      </c>
    </row>
    <row r="120" spans="1:1" x14ac:dyDescent="0.2">
      <c r="A120" s="23">
        <v>45765</v>
      </c>
    </row>
    <row r="121" spans="1:1" x14ac:dyDescent="0.2">
      <c r="A121" s="23">
        <v>45768</v>
      </c>
    </row>
    <row r="122" spans="1:1" x14ac:dyDescent="0.2">
      <c r="A122" s="23">
        <v>45782</v>
      </c>
    </row>
    <row r="123" spans="1:1" x14ac:dyDescent="0.2">
      <c r="A123" s="23">
        <v>45803</v>
      </c>
    </row>
    <row r="124" spans="1:1" x14ac:dyDescent="0.2">
      <c r="A124" s="23">
        <v>45894</v>
      </c>
    </row>
    <row r="125" spans="1:1" x14ac:dyDescent="0.2">
      <c r="A125" s="23">
        <v>46016</v>
      </c>
    </row>
    <row r="126" spans="1:1" x14ac:dyDescent="0.2">
      <c r="A126" s="23">
        <v>46017</v>
      </c>
    </row>
    <row r="127" spans="1:1" x14ac:dyDescent="0.2">
      <c r="A127" s="23">
        <v>46023</v>
      </c>
    </row>
    <row r="128" spans="1:1" x14ac:dyDescent="0.2">
      <c r="A128" s="23">
        <v>46115</v>
      </c>
    </row>
    <row r="129" spans="1:1" x14ac:dyDescent="0.2">
      <c r="A129" s="23">
        <v>46118</v>
      </c>
    </row>
    <row r="130" spans="1:1" x14ac:dyDescent="0.2">
      <c r="A130" s="23">
        <v>46146</v>
      </c>
    </row>
    <row r="131" spans="1:1" x14ac:dyDescent="0.2">
      <c r="A131" s="23">
        <v>46167</v>
      </c>
    </row>
    <row r="132" spans="1:1" x14ac:dyDescent="0.2">
      <c r="A132" s="23">
        <v>46265</v>
      </c>
    </row>
    <row r="133" spans="1:1" x14ac:dyDescent="0.2">
      <c r="A133" s="23">
        <v>46381</v>
      </c>
    </row>
    <row r="134" spans="1:1" x14ac:dyDescent="0.2">
      <c r="A134" s="23">
        <v>46384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Calculator</vt:lpstr>
      <vt:lpstr>Entitlement Table</vt:lpstr>
      <vt:lpstr>Leave Years</vt:lpstr>
      <vt:lpstr>Public Holidays</vt:lpstr>
      <vt:lpstr>Birthday_1</vt:lpstr>
      <vt:lpstr>Birthday_2</vt:lpstr>
      <vt:lpstr>Birthday_3</vt:lpstr>
      <vt:lpstr>Birthday_4</vt:lpstr>
      <vt:lpstr>Birthday_5</vt:lpstr>
      <vt:lpstr>Contractual_Hours</vt:lpstr>
      <vt:lpstr>Date_of_Birth</vt:lpstr>
      <vt:lpstr>Leave_Year_End_1</vt:lpstr>
      <vt:lpstr>Leave_Year_End_2</vt:lpstr>
      <vt:lpstr>Leave_Year_End_3</vt:lpstr>
      <vt:lpstr>Leave_Year_End_4</vt:lpstr>
      <vt:lpstr>Leave_Year_End_5</vt:lpstr>
      <vt:lpstr>Leave_Year_Selection</vt:lpstr>
      <vt:lpstr>Leave_Year_Start_1</vt:lpstr>
      <vt:lpstr>Leave_Year_Start_2</vt:lpstr>
      <vt:lpstr>Leave_Year_Start_3</vt:lpstr>
      <vt:lpstr>Leave_Year_Start_4</vt:lpstr>
      <vt:lpstr>Leave_Year_Start_5</vt:lpstr>
      <vt:lpstr>Leaving_Date</vt:lpstr>
      <vt:lpstr>Mandatory_Data</vt:lpstr>
      <vt:lpstr>Reckonable_Service_Date</vt:lpstr>
      <vt:lpstr>Start_Date</vt:lpstr>
    </vt:vector>
  </TitlesOfParts>
  <Company>Agilisys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Mandy.Walker@cumbria.gov.uk</dc:creator>
  <cp:lastModifiedBy>Hanks, Takara</cp:lastModifiedBy>
  <cp:lastPrinted>2014-02-24T09:54:14Z</cp:lastPrinted>
  <dcterms:created xsi:type="dcterms:W3CDTF">2011-03-30T13:10:59Z</dcterms:created>
  <dcterms:modified xsi:type="dcterms:W3CDTF">2026-04-02T08:44:24Z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